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iri-on\Desktop\งาน งาน\งาน\Company Secretary\แจ้ง SET\ปี 2563\งบ Q1-2563\"/>
    </mc:Choice>
  </mc:AlternateContent>
  <xr:revisionPtr revIDLastSave="0" documentId="13_ncr:1_{9EA7803F-C765-472F-A84F-2CDE61D61747}" xr6:coauthVersionLast="44" xr6:coauthVersionMax="44" xr10:uidLastSave="{00000000-0000-0000-0000-000000000000}"/>
  <bookViews>
    <workbookView xWindow="-120" yWindow="-120" windowWidth="20730" windowHeight="11160" activeTab="6" xr2:uid="{00000000-000D-0000-FFFF-FFFF00000000}"/>
  </bookViews>
  <sheets>
    <sheet name="BS" sheetId="1" r:id="rId1"/>
    <sheet name="PL" sheetId="13" r:id="rId2"/>
    <sheet name="SH-8" sheetId="7" r:id="rId3"/>
    <sheet name="SH-9" sheetId="11" r:id="rId4"/>
    <sheet name="SH-10" sheetId="5" r:id="rId5"/>
    <sheet name="SH-11" sheetId="12" r:id="rId6"/>
    <sheet name="CF" sheetId="10" r:id="rId7"/>
  </sheets>
  <externalReferences>
    <externalReference r:id="rId8"/>
    <externalReference r:id="rId9"/>
  </externalReferences>
  <definedNames>
    <definedName name="_xlnm.Print_Area" localSheetId="0">BS!$A$1:$I$101</definedName>
    <definedName name="_xlnm.Print_Area" localSheetId="6">CF!$A$1:$J$78</definedName>
    <definedName name="_xlnm.Print_Area" localSheetId="1">PL!$A$1:$Q$65</definedName>
    <definedName name="_xlnm.Print_Area" localSheetId="4">'SH-10'!$A$1:$L$16</definedName>
    <definedName name="_xlnm.Print_Area" localSheetId="5">'SH-11'!$A$1:$N$19</definedName>
    <definedName name="_xlnm.Print_Area" localSheetId="2">'SH-8'!$A$1:$U$23</definedName>
    <definedName name="_xlnm.Print_Area" localSheetId="3">'SH-9'!$A$1:$Y$20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0" l="1"/>
  <c r="D12" i="10"/>
  <c r="H37" i="10" l="1"/>
  <c r="J13" i="12"/>
  <c r="M14" i="11"/>
  <c r="H56" i="10" l="1"/>
  <c r="E46" i="1" l="1"/>
  <c r="E54" i="1"/>
  <c r="F17" i="10" l="1"/>
  <c r="F29" i="10" s="1"/>
  <c r="D17" i="10"/>
  <c r="I16" i="13" l="1"/>
  <c r="H11" i="10" l="1"/>
  <c r="D11" i="10"/>
  <c r="L16" i="12" l="1"/>
  <c r="C60" i="13"/>
  <c r="W16" i="11"/>
  <c r="S18" i="7"/>
  <c r="C52" i="1" l="1"/>
  <c r="C50" i="1"/>
  <c r="C26" i="1"/>
  <c r="G26" i="1"/>
  <c r="G29" i="1"/>
  <c r="I31" i="1"/>
  <c r="G22" i="1"/>
  <c r="I21" i="1"/>
  <c r="D17" i="12" l="1"/>
  <c r="F17" i="12"/>
  <c r="H17" i="12"/>
  <c r="N16" i="12"/>
  <c r="E60" i="13"/>
  <c r="K18" i="11"/>
  <c r="I18" i="11"/>
  <c r="G18" i="11"/>
  <c r="E18" i="11"/>
  <c r="C18" i="11"/>
  <c r="O18" i="11"/>
  <c r="Q18" i="11"/>
  <c r="S17" i="11"/>
  <c r="S18" i="11" s="1"/>
  <c r="I49" i="13"/>
  <c r="E49" i="13"/>
  <c r="I33" i="13"/>
  <c r="J11" i="10" s="1"/>
  <c r="E33" i="13"/>
  <c r="F11" i="10" s="1"/>
  <c r="E31" i="13"/>
  <c r="I26" i="13"/>
  <c r="G26" i="13"/>
  <c r="C26" i="13"/>
  <c r="P20" i="13"/>
  <c r="M20" i="13"/>
  <c r="L20" i="13"/>
  <c r="K20" i="13"/>
  <c r="E26" i="13"/>
  <c r="J17" i="13"/>
  <c r="J32" i="13" s="1"/>
  <c r="J34" i="13" s="1"/>
  <c r="I17" i="13"/>
  <c r="G17" i="13"/>
  <c r="C17" i="13"/>
  <c r="K16" i="13"/>
  <c r="E14" i="13"/>
  <c r="E17" i="13" s="1"/>
  <c r="K12" i="13"/>
  <c r="K11" i="13"/>
  <c r="E11" i="13"/>
  <c r="K10" i="13"/>
  <c r="C28" i="13" l="1"/>
  <c r="C32" i="13"/>
  <c r="C34" i="13" s="1"/>
  <c r="G28" i="13"/>
  <c r="G32" i="13" s="1"/>
  <c r="G34" i="13" s="1"/>
  <c r="I28" i="13"/>
  <c r="U17" i="11"/>
  <c r="Y17" i="11" s="1"/>
  <c r="L17" i="12"/>
  <c r="E28" i="13"/>
  <c r="C56" i="13" l="1"/>
  <c r="D9" i="10" s="1"/>
  <c r="C44" i="13"/>
  <c r="C51" i="13" s="1"/>
  <c r="C61" i="13" s="1"/>
  <c r="C59" i="13" s="1"/>
  <c r="E32" i="13"/>
  <c r="E34" i="13" s="1"/>
  <c r="F9" i="10" s="1"/>
  <c r="G56" i="13"/>
  <c r="G54" i="13" s="1"/>
  <c r="G44" i="13"/>
  <c r="G51" i="13" s="1"/>
  <c r="G61" i="13" s="1"/>
  <c r="G59" i="13" s="1"/>
  <c r="I32" i="13"/>
  <c r="I34" i="13" s="1"/>
  <c r="J9" i="10" s="1"/>
  <c r="J17" i="12" l="1"/>
  <c r="J15" i="12"/>
  <c r="C54" i="13"/>
  <c r="C64" i="13" s="1"/>
  <c r="E56" i="13"/>
  <c r="E54" i="13" s="1"/>
  <c r="M18" i="7" s="1"/>
  <c r="E44" i="13"/>
  <c r="E51" i="13" s="1"/>
  <c r="E61" i="13" s="1"/>
  <c r="E59" i="13" s="1"/>
  <c r="G64" i="13"/>
  <c r="H9" i="10"/>
  <c r="I44" i="13"/>
  <c r="I51" i="13" s="1"/>
  <c r="I61" i="13" s="1"/>
  <c r="I59" i="13" s="1"/>
  <c r="I56" i="13"/>
  <c r="E11" i="1"/>
  <c r="M16" i="11" l="1"/>
  <c r="I54" i="13"/>
  <c r="J13" i="5" s="1"/>
  <c r="I64" i="13"/>
  <c r="H76" i="10"/>
  <c r="D76" i="10" l="1"/>
  <c r="D13" i="10" l="1"/>
  <c r="N13" i="12" l="1"/>
  <c r="U14" i="11"/>
  <c r="S16" i="11"/>
  <c r="S14" i="11"/>
  <c r="Q19" i="11"/>
  <c r="N17" i="12" l="1"/>
  <c r="S19" i="11"/>
  <c r="G93" i="1"/>
  <c r="G46" i="1"/>
  <c r="C46" i="1"/>
  <c r="I11" i="1"/>
  <c r="L18" i="12" l="1"/>
  <c r="I46" i="1"/>
  <c r="I58" i="1" s="1"/>
  <c r="E58" i="1" l="1"/>
  <c r="I93" i="1" l="1"/>
  <c r="I96" i="1" s="1"/>
  <c r="I98" i="1" s="1"/>
  <c r="E96" i="1"/>
  <c r="E98" i="1" s="1"/>
  <c r="J73" i="10" l="1"/>
  <c r="J62" i="10"/>
  <c r="J40" i="10"/>
  <c r="J32" i="10"/>
  <c r="J30" i="10"/>
  <c r="J28" i="10"/>
  <c r="J21" i="10"/>
  <c r="J12" i="10"/>
  <c r="F73" i="10"/>
  <c r="F62" i="10"/>
  <c r="F34" i="10"/>
  <c r="F32" i="10"/>
  <c r="F30" i="10"/>
  <c r="F28" i="10"/>
  <c r="F21" i="10"/>
  <c r="F12" i="10"/>
  <c r="L18" i="5"/>
  <c r="J18" i="5"/>
  <c r="H18" i="5"/>
  <c r="H19" i="5" s="1"/>
  <c r="F18" i="5"/>
  <c r="D18" i="5"/>
  <c r="H15" i="5"/>
  <c r="F15" i="5"/>
  <c r="F19" i="5" s="1"/>
  <c r="D15" i="5"/>
  <c r="L11" i="5"/>
  <c r="U22" i="7"/>
  <c r="S22" i="7"/>
  <c r="Q22" i="7"/>
  <c r="M22" i="7"/>
  <c r="K22" i="7"/>
  <c r="G22" i="7"/>
  <c r="E22" i="7"/>
  <c r="E23" i="7" s="1"/>
  <c r="C22" i="7"/>
  <c r="C23" i="7" s="1"/>
  <c r="K20" i="7"/>
  <c r="K23" i="7" s="1"/>
  <c r="I20" i="7"/>
  <c r="G20" i="7"/>
  <c r="G23" i="7" s="1"/>
  <c r="E20" i="7"/>
  <c r="C20" i="7"/>
  <c r="O19" i="7"/>
  <c r="O20" i="7" s="1"/>
  <c r="K19" i="7"/>
  <c r="I19" i="7"/>
  <c r="G19" i="7"/>
  <c r="E19" i="7"/>
  <c r="C19" i="7"/>
  <c r="U16" i="7"/>
  <c r="Q16" i="7"/>
  <c r="D19" i="5" l="1"/>
  <c r="S19" i="7"/>
  <c r="S20" i="7" s="1"/>
  <c r="S23" i="7" s="1"/>
  <c r="J26" i="10" l="1"/>
  <c r="J39" i="10" s="1"/>
  <c r="J41" i="10" s="1"/>
  <c r="J75" i="10" s="1"/>
  <c r="J77" i="10" s="1"/>
  <c r="J14" i="5" l="1"/>
  <c r="L13" i="5"/>
  <c r="D62" i="10"/>
  <c r="F26" i="10" l="1"/>
  <c r="F39" i="10" s="1"/>
  <c r="F41" i="10" s="1"/>
  <c r="F75" i="10" s="1"/>
  <c r="F77" i="10" s="1"/>
  <c r="L14" i="5"/>
  <c r="J15" i="5"/>
  <c r="W18" i="11"/>
  <c r="J19" i="5" l="1"/>
  <c r="L15" i="5"/>
  <c r="L19" i="5" s="1"/>
  <c r="Q18" i="7"/>
  <c r="M19" i="7"/>
  <c r="M20" i="7" s="1"/>
  <c r="M23" i="7" s="1"/>
  <c r="G32" i="1"/>
  <c r="Q19" i="7" l="1"/>
  <c r="Q20" i="7" s="1"/>
  <c r="Q23" i="7" s="1"/>
  <c r="U18" i="7"/>
  <c r="U19" i="7" s="1"/>
  <c r="U20" i="7" s="1"/>
  <c r="U23" i="7" s="1"/>
  <c r="E69" i="1" l="1"/>
  <c r="C69" i="1"/>
  <c r="I69" i="1"/>
  <c r="G69" i="1" l="1"/>
  <c r="I17" i="1"/>
  <c r="U16" i="11" l="1"/>
  <c r="U18" i="11" s="1"/>
  <c r="M18" i="11"/>
  <c r="H73" i="10"/>
  <c r="D73" i="10"/>
  <c r="D18" i="12" l="1"/>
  <c r="Y14" i="11"/>
  <c r="I32" i="1" l="1"/>
  <c r="I34" i="1" s="1"/>
  <c r="C32" i="1"/>
  <c r="E32" i="1"/>
  <c r="H62" i="10" l="1"/>
  <c r="N21" i="12"/>
  <c r="J21" i="12"/>
  <c r="H21" i="12"/>
  <c r="F21" i="12"/>
  <c r="D21" i="12"/>
  <c r="D22" i="12" s="1"/>
  <c r="H18" i="12"/>
  <c r="F18" i="12"/>
  <c r="Y21" i="11"/>
  <c r="W21" i="11"/>
  <c r="U21" i="11"/>
  <c r="M21" i="11"/>
  <c r="K21" i="11"/>
  <c r="G21" i="11"/>
  <c r="E21" i="11"/>
  <c r="C21" i="11"/>
  <c r="K19" i="11"/>
  <c r="I19" i="11"/>
  <c r="G19" i="11"/>
  <c r="E19" i="11"/>
  <c r="C19" i="11"/>
  <c r="W19" i="11"/>
  <c r="O19" i="11"/>
  <c r="E22" i="11" l="1"/>
  <c r="K22" i="11"/>
  <c r="F22" i="12"/>
  <c r="G22" i="11"/>
  <c r="W22" i="11"/>
  <c r="H22" i="12"/>
  <c r="C22" i="11"/>
  <c r="U19" i="11"/>
  <c r="U22" i="11" s="1"/>
  <c r="Y16" i="11"/>
  <c r="Y18" i="11" s="1"/>
  <c r="M19" i="11"/>
  <c r="H26" i="10" l="1"/>
  <c r="Y19" i="11"/>
  <c r="Y22" i="11" s="1"/>
  <c r="M22" i="11"/>
  <c r="N15" i="12"/>
  <c r="D26" i="10" l="1"/>
  <c r="D39" i="10" l="1"/>
  <c r="D41" i="10" s="1"/>
  <c r="D75" i="10" l="1"/>
  <c r="E17" i="1"/>
  <c r="C96" i="1"/>
  <c r="C17" i="1"/>
  <c r="C34" i="1" s="1"/>
  <c r="C98" i="1" l="1"/>
  <c r="Z19" i="11" s="1"/>
  <c r="H39" i="10"/>
  <c r="H41" i="10" s="1"/>
  <c r="H75" i="10" s="1"/>
  <c r="H77" i="10" s="1"/>
  <c r="L77" i="10" s="1"/>
  <c r="I71" i="1"/>
  <c r="I100" i="1" s="1"/>
  <c r="D77" i="10"/>
  <c r="K77" i="10" s="1"/>
  <c r="E34" i="1"/>
  <c r="E71" i="1"/>
  <c r="E100" i="1" s="1"/>
  <c r="I102" i="1" l="1"/>
  <c r="E102" i="1"/>
  <c r="J18" i="12" l="1"/>
  <c r="G96" i="1" l="1"/>
  <c r="G98" i="1" s="1"/>
  <c r="N18" i="12"/>
  <c r="J22" i="12"/>
  <c r="N22" i="12" l="1"/>
  <c r="O18" i="12"/>
  <c r="G58" i="1" l="1"/>
  <c r="G71" i="1" s="1"/>
  <c r="G100" i="1" s="1"/>
  <c r="C58" i="1" l="1"/>
  <c r="C71" i="1" s="1"/>
  <c r="C100" i="1" s="1"/>
  <c r="C102" i="1" s="1"/>
  <c r="G11" i="1" l="1"/>
  <c r="G17" i="1" s="1"/>
  <c r="G34" i="1" s="1"/>
  <c r="G102" i="1" s="1"/>
</calcChain>
</file>

<file path=xl/sharedStrings.xml><?xml version="1.0" encoding="utf-8"?>
<sst xmlns="http://schemas.openxmlformats.org/spreadsheetml/2006/main" count="408" uniqueCount="220">
  <si>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</si>
  <si>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</si>
  <si>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</si>
  <si>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</si>
  <si>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</si>
  <si>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</si>
  <si>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</si>
  <si>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</si>
  <si>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</si>
  <si>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</si>
  <si>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</si>
  <si>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</si>
  <si>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</si>
  <si>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</si>
  <si>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</si>
  <si>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</si>
  <si>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</si>
  <si>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</si>
  <si>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</si>
  <si>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</si>
  <si>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</si>
  <si>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</si>
  <si>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</si>
  <si>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</si>
  <si>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</si>
  <si>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</si>
  <si>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</si>
  <si>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</si>
  <si>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</si>
  <si>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</si>
  <si>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</si>
  <si>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</si>
  <si>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</si>
  <si>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</si>
  <si>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 xml:space="preserve">   ทุนที่ออกและชำระแล้ว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</si>
  <si>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</si>
  <si>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</si>
  <si>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</si>
  <si>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</si>
  <si>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</si>
  <si>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</si>
  <si>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ที่ดิน อาคารและอุปกรณ์ </t>
  </si>
  <si>
    <t xml:space="preserve">สินทรัพย์ไม่หมุนเวียนอื่น </t>
  </si>
  <si>
    <t>หุ้นกู้ระยะยาว</t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</si>
  <si>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</si>
  <si>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</si>
  <si>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</si>
  <si>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</si>
  <si>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</si>
  <si>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</si>
  <si>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</si>
  <si>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</si>
  <si>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</si>
  <si>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ค่าเสื่อมราคาและค่าตัดจำหน่าย</t>
  </si>
  <si>
    <t>โครงการอสังหาริมทรัพย์ระหว่างการพัฒนา</t>
  </si>
  <si>
    <t>งบแสดงฐานะการเงิน</t>
  </si>
  <si>
    <t>อสังหาริมทรัพย์เพื่อการลงทุน</t>
  </si>
  <si>
    <t>ส่วนเกินมูลค่าหุ้นสามัญ</t>
  </si>
  <si>
    <t xml:space="preserve">        ทุนสำรองตามกฎหมาย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</si>
  <si>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</si>
  <si>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</si>
  <si>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</si>
  <si>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</si>
  <si>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</si>
  <si>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</si>
  <si>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</si>
  <si>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</si>
  <si>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</si>
  <si>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</si>
  <si>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</si>
  <si>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</si>
  <si>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</si>
  <si>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</si>
  <si>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</si>
  <si>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เงินลงทุนในการร่วมค้า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</si>
  <si>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</si>
  <si>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</si>
  <si>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</si>
  <si>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</si>
  <si>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ภาษีเงินได้จ่ายออก</t>
  </si>
  <si>
    <t>กระแสเงินสดสุทธิได้มาจาก (ใช้ไปใน) กิจกรรมลงทุน</t>
  </si>
  <si>
    <t>ดอกเบี้ยจ่าย</t>
  </si>
  <si>
    <t>ประมาณการหนี้สินไม่หมุนเวียน</t>
  </si>
  <si>
    <t xml:space="preserve">   กำไร</t>
  </si>
  <si>
    <t>กำไรต่อหุ้นขั้นพื้นฐาน</t>
  </si>
  <si>
    <t>เงินสดรับจากการขายอุปกรณ์</t>
  </si>
  <si>
    <t>31 มีนาคม</t>
  </si>
  <si>
    <t>งบกำไรขาดทุนเบ็ดเสร็จ (ไม่ได้ตรวจสอบ)</t>
  </si>
  <si>
    <t>สำหรับงวดสามเดือนสิ้นสุด</t>
  </si>
  <si>
    <t>วันที่ 31 มีนาคม</t>
  </si>
  <si>
    <t>(พันบาท)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</si>
  <si>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</si>
  <si>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</si>
  <si>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</si>
  <si>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</si>
  <si>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</si>
  <si>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</si>
  <si>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</si>
  <si>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องค์ประกอบอื่น</t>
  </si>
  <si>
    <t>ของส่วนของ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</si>
  <si>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</si>
  <si>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</si>
  <si>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</si>
  <si>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</si>
  <si>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</si>
  <si>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</si>
  <si>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</si>
  <si>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สำหรับงวดสามเดือนสิ้นสุดวันที่ 31 มีนาคม 2562</t>
  </si>
  <si>
    <t>ยอดคงเหลือ ณ วันที่ 1 มกราคม 2562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</si>
  <si>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</si>
  <si>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</si>
  <si>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</si>
  <si>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</si>
  <si>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</si>
  <si>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</si>
  <si>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</si>
  <si>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</si>
  <si>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</si>
  <si>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</si>
  <si>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</si>
  <si>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</si>
  <si>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</si>
  <si>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ยอดคงเหลือ ณ วันที่ 31 มีนาคม 2562</t>
  </si>
  <si>
    <t>สิทธิการเช่าที่ดินตัดจำหน่าย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</si>
  <si>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</si>
  <si>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</si>
  <si>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</si>
  <si>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</si>
  <si>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</si>
  <si>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</si>
  <si>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</si>
  <si>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</si>
  <si>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</si>
  <si>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เงินลงทุนระยะยาวอื่น</t>
  </si>
  <si>
    <t>สิทธิการเช่าที่ดินจากกิจการที่เกี่ยวข้องกัน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</si>
  <si>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</si>
  <si>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</si>
  <si>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</si>
  <si>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 xml:space="preserve">    สำหรับผลประโยชน์พนักงาน</t>
  </si>
  <si>
    <t>ส่วนปรับปรุงมูลค่าสินทรัพย์ที่ซื้อภายใต้</t>
  </si>
  <si>
    <t xml:space="preserve">    การควบคุมเดียวกันให้เป็นราคาตามบัญชี</t>
  </si>
  <si>
    <t>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</si>
  <si>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</t>
  </si>
  <si>
    <t>เงินมัดจำรับจากลูกค้า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</si>
  <si>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</si>
  <si>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</si>
  <si>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</si>
  <si>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</si>
  <si>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เงินกู้ยืมระยะสั้นจากสถาบันการเงิน</t>
  </si>
  <si>
    <t>2561 Per Lead</t>
  </si>
  <si>
    <t>ลูกหนี้การค้าและลูกหนี้อื่น</t>
  </si>
  <si>
    <t>เจ้าหนี้การค้าและเจ้าหนี้อื่น</t>
  </si>
  <si>
    <t>กำไรขาดทุนเบ็ดเสร็จอื่น</t>
  </si>
  <si>
    <t>กำไรจากการเปลี่ยนแปลงมูลค่ายุติธรรมของ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</si>
  <si>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</si>
  <si>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</si>
  <si>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</si>
  <si>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</si>
  <si>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</si>
  <si>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</si>
  <si>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</si>
  <si>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กำไรจากการจำหน่ายที่ดิน อาคาร และอุปกรณ์</t>
  </si>
  <si>
    <t>เงินสดรับจากการขายอสังหาริมทรัพย์เพื่อการลงทุน</t>
  </si>
  <si>
    <t>เงินปันผลรับ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</si>
  <si>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</si>
  <si>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</si>
  <si>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</si>
  <si>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</si>
  <si>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</si>
  <si>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สำหรับงวดสามเดือนสิ้นสุดวันที่ 31 มีนาคม 2563</t>
  </si>
  <si>
    <t>ยอดคงเหลือ ณ วันที่ 1 มกราคม 2563</t>
  </si>
  <si>
    <t>ยอดคงเหลือ ณ วันที่ 31 มีนาคม 2563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</si>
  <si>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</si>
  <si>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</si>
  <si>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</si>
  <si>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เจ้าหนี้ผู้รับเหมาก่อสร้าง</t>
  </si>
  <si>
    <t>ภาษีเงินได้นิติบุคคลค้างจ่าย</t>
  </si>
  <si>
    <t>หนี้สินตามสัญญาเช่า</t>
  </si>
  <si>
    <t>รายได้ดอกเบี้ย</t>
  </si>
  <si>
    <t>เงินสดจ่ายชำระหนี้สินตามสัญญาเช่า</t>
  </si>
  <si>
    <t>ส่วนของหนี้สินตามสัญญาเช่า</t>
  </si>
  <si>
    <t>ที่ถึงกำหนดชำระภายในหนึ่งปี</t>
  </si>
  <si>
    <t>(กลับรายการ) ผลขาดทุนจากการด้อยค่าที่รับรู้ในกำไรหรือขาดทุน</t>
  </si>
  <si>
    <t>บริษัทร่วมที่ใช้วิธีส่วนได้เสีย</t>
  </si>
  <si>
    <t>ผลกำไร</t>
  </si>
  <si>
    <t>วัดมูลค่า</t>
  </si>
  <si>
    <t>ทางการเงิน</t>
  </si>
  <si>
    <t>รวมองค์</t>
  </si>
  <si>
    <t>ประกอบ</t>
  </si>
  <si>
    <t>อื่นของ</t>
  </si>
  <si>
    <t>เงินสดจ่ายเพื่อชำระเงินกู้ยืมระยะสั้นจากสถาบันการเงิน</t>
  </si>
  <si>
    <t>ผลกำไรจากการ</t>
  </si>
  <si>
    <t>วัดมูลค่าสินทรัพย์</t>
  </si>
  <si>
    <t xml:space="preserve">   กำไรขาดทุนเบ็ดเสร็จอื่น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</si>
  <si>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</si>
  <si>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</si>
  <si>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กำไรจากกิจกรรมดำเนินงาน</t>
  </si>
  <si>
    <t>ส่วนแบ่งกำไรของการร่วมค้า และ</t>
  </si>
  <si>
    <t>กำไรเบ็ดเสร็จอื่นสำหรับงวด - สุทธิจากภาษี</t>
  </si>
  <si>
    <t>กำไรเบ็ดเสร็จอื่นรวมสำหรับงวด</t>
  </si>
  <si>
    <t>การแบ่งปันกำไรเบ็ดเสร็จรวม</t>
  </si>
  <si>
    <t>โครงการอสังหาริมทรัพย์ระหว่างการพัฒนาลดลงจากการโอนเป็นต้นทุนขาย</t>
  </si>
  <si>
    <t>Acct 21801001+24906001 แค่ของ BD</t>
  </si>
  <si>
    <t>รายการที่จะไม่ถูกจัดประเภทใหม่ไว้ในกำไรหรือขาดทุนในภายหลัง</t>
  </si>
  <si>
    <t>วัดมูลค่าด้วยมูลค่ายุติธรรมผ่านกำไรขาดทุนเบ็ดเสร็จอื่น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</si>
  <si>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</si>
  <si>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</si>
  <si>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เงินสดรับชำระคืนเงินให้กู้ยืมระยะสั้นแก่กิจการที่เกี่ยวข้องกัน</t>
  </si>
  <si>
    <t>4, 11</t>
  </si>
  <si>
    <t>ค่าใช้จ่ายภาษีเงินได้</t>
  </si>
  <si>
    <t>ผลกำไรจากเงินลงทุนในตราสารทุนที่กำหนดให้</t>
  </si>
  <si>
    <t>ผลขาดทุนจากการด้อยค่า</t>
  </si>
  <si>
    <t>3, 10</t>
  </si>
  <si>
    <t>ขาดทุน (กำไร) จากการเปลี่ยนแปลงมูลค่ายุติธรรมของอสังหาริมทรัพย์เพื่อการลงทุน</t>
  </si>
  <si>
    <t>ส่วนแบ่งขาดทุน  (กำไร) ของบริษัทร่วมที่ใช้วิธีส่วนได้เสีย (สุทธิจากภาษี)</t>
  </si>
  <si>
    <t>ส่วนแบ่งขาดทุน (กำไร) ของการร่วมค้าที่ใช้วิธีส่วนได้เสีย (สุทธิจากภาษี)</t>
  </si>
  <si>
    <t>สินทรัพย์ทางการเงินหมุนเวียนอื่น - เงินลงทุน</t>
  </si>
  <si>
    <t>3, 4</t>
  </si>
  <si>
    <t>ในตราสารทุน</t>
  </si>
  <si>
    <t>เงินสดจ่ายเพื่อซื้อสินทรัพย์ทางการเงินหมุนเวียนอื่น - เงินลงทุนในตราสารทุน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</si>
</sst>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#,##0.00\ ;\(#,##0.00\)"/>
    <numFmt numFmtId="191" formatCode="_(* #,##0_);_(* \(#,##0\);_(* &quot;-&quot;??_);_(@_)"/>
    <numFmt numFmtId="192" formatCode="_(* #,##0.000000_);_(* \(#,##0.000000\);_(* &quot;-&quot;??_);_(@_)"/>
    <numFmt numFmtId="193" formatCode="_(* #,##0.0_);_(* \(#,##0.0\);_(* &quot;-&quot;??_);_(@_)"/>
    <numFmt numFmtId="194" formatCode="#,##0.000\ ;\(#,##0.000\)"/>
  </numFmts>
  <fonts count="21">
    <font>
      <sz val="16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sz val="8"/>
      <name val="Arial"/>
      <family val="2"/>
    </font>
    <font>
      <sz val="8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Tahoma"/>
      <family val="2"/>
      <scheme val="minor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0"/>
      <name val="ApFont"/>
    </font>
    <font>
      <sz val="16"/>
      <color theme="1"/>
      <name val="Angsana New"/>
      <family val="1"/>
    </font>
    <font>
      <i/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1">
    <xf numFmtId="0" fontId="0" fillId="0" borderId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88" fontId="1" fillId="0" borderId="0" applyFont="0" applyFill="0" applyBorder="0" applyAlignment="0" applyProtection="0"/>
    <xf numFmtId="0" fontId="18" fillId="0" borderId="0"/>
  </cellStyleXfs>
  <cellXfs count="168">
    <xf numFmtId="0" fontId="0" fillId="0" borderId="0" xfId="0"/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37" fontId="9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189" fontId="9" fillId="0" borderId="0" xfId="0" applyNumberFormat="1" applyFont="1" applyFill="1" applyAlignment="1">
      <alignment horizontal="right"/>
    </xf>
    <xf numFmtId="188" fontId="9" fillId="0" borderId="0" xfId="1" applyFont="1" applyFill="1" applyAlignment="1"/>
    <xf numFmtId="189" fontId="9" fillId="0" borderId="0" xfId="0" applyNumberFormat="1" applyFont="1" applyFill="1" applyBorder="1" applyAlignment="1">
      <alignment horizontal="right"/>
    </xf>
    <xf numFmtId="189" fontId="7" fillId="0" borderId="0" xfId="0" applyNumberFormat="1" applyFont="1" applyFill="1" applyBorder="1" applyAlignment="1">
      <alignment horizontal="right"/>
    </xf>
    <xf numFmtId="189" fontId="7" fillId="0" borderId="2" xfId="0" applyNumberFormat="1" applyFont="1" applyFill="1" applyBorder="1" applyAlignment="1">
      <alignment horizontal="right"/>
    </xf>
    <xf numFmtId="189" fontId="7" fillId="0" borderId="3" xfId="0" applyNumberFormat="1" applyFont="1" applyFill="1" applyBorder="1" applyAlignment="1">
      <alignment horizontal="right"/>
    </xf>
    <xf numFmtId="189" fontId="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0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0" applyFont="1" applyFill="1" applyAlignment="1"/>
    <xf numFmtId="191" fontId="7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/>
    <xf numFmtId="0" fontId="9" fillId="0" borderId="0" xfId="0" applyFont="1" applyFill="1" applyBorder="1" applyAlignment="1">
      <alignment horizontal="center"/>
    </xf>
    <xf numFmtId="189" fontId="7" fillId="0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37" fontId="9" fillId="0" borderId="0" xfId="0" applyNumberFormat="1" applyFont="1" applyFill="1" applyBorder="1" applyAlignment="1"/>
    <xf numFmtId="189" fontId="9" fillId="0" borderId="0" xfId="0" applyNumberFormat="1" applyFont="1" applyFill="1" applyAlignment="1"/>
    <xf numFmtId="189" fontId="7" fillId="0" borderId="4" xfId="0" applyNumberFormat="1" applyFont="1" applyFill="1" applyBorder="1" applyAlignment="1"/>
    <xf numFmtId="191" fontId="9" fillId="0" borderId="0" xfId="1" applyNumberFormat="1" applyFont="1" applyFill="1" applyAlignment="1">
      <alignment horizontal="right"/>
    </xf>
    <xf numFmtId="189" fontId="7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/>
    <xf numFmtId="49" fontId="9" fillId="0" borderId="0" xfId="0" applyNumberFormat="1" applyFont="1" applyFill="1" applyAlignment="1">
      <alignment horizontal="left"/>
    </xf>
    <xf numFmtId="188" fontId="16" fillId="0" borderId="0" xfId="1" applyFont="1" applyFill="1" applyAlignment="1">
      <alignment horizontal="right"/>
    </xf>
    <xf numFmtId="188" fontId="9" fillId="0" borderId="0" xfId="1" applyFont="1" applyFill="1" applyAlignment="1">
      <alignment horizontal="right"/>
    </xf>
    <xf numFmtId="191" fontId="9" fillId="0" borderId="0" xfId="1" applyNumberFormat="1" applyFont="1" applyFill="1" applyAlignment="1"/>
    <xf numFmtId="0" fontId="3" fillId="0" borderId="0" xfId="0" applyFont="1" applyFill="1" applyAlignment="1">
      <alignment horizontal="left"/>
    </xf>
    <xf numFmtId="191" fontId="9" fillId="0" borderId="0" xfId="1" applyNumberFormat="1" applyFont="1" applyFill="1" applyBorder="1" applyAlignment="1"/>
    <xf numFmtId="191" fontId="7" fillId="0" borderId="0" xfId="1" applyNumberFormat="1" applyFont="1" applyFill="1" applyAlignment="1"/>
    <xf numFmtId="49" fontId="10" fillId="0" borderId="0" xfId="0" applyNumberFormat="1" applyFont="1" applyFill="1" applyAlignment="1"/>
    <xf numFmtId="49" fontId="8" fillId="0" borderId="0" xfId="0" applyNumberFormat="1" applyFont="1" applyFill="1" applyAlignment="1"/>
    <xf numFmtId="49" fontId="9" fillId="0" borderId="0" xfId="0" applyNumberFormat="1" applyFont="1" applyFill="1" applyAlignment="1"/>
    <xf numFmtId="191" fontId="9" fillId="0" borderId="0" xfId="1" applyNumberFormat="1" applyFont="1" applyFill="1" applyAlignment="1">
      <alignment horizontal="center"/>
    </xf>
    <xf numFmtId="37" fontId="9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/>
    <xf numFmtId="191" fontId="9" fillId="0" borderId="0" xfId="0" applyNumberFormat="1" applyFont="1" applyFill="1" applyAlignment="1"/>
    <xf numFmtId="49" fontId="9" fillId="0" borderId="0" xfId="0" applyNumberFormat="1" applyFont="1" applyFill="1" applyBorder="1" applyAlignment="1"/>
    <xf numFmtId="191" fontId="9" fillId="0" borderId="5" xfId="1" applyNumberFormat="1" applyFont="1" applyFill="1" applyBorder="1" applyAlignment="1"/>
    <xf numFmtId="188" fontId="9" fillId="0" borderId="0" xfId="1" applyFont="1" applyFill="1" applyBorder="1" applyAlignment="1">
      <alignment horizontal="center"/>
    </xf>
    <xf numFmtId="192" fontId="9" fillId="0" borderId="0" xfId="1" applyNumberFormat="1" applyFont="1" applyFill="1" applyAlignment="1">
      <alignment horizontal="right"/>
    </xf>
    <xf numFmtId="191" fontId="9" fillId="0" borderId="1" xfId="1" applyNumberFormat="1" applyFont="1" applyFill="1" applyBorder="1" applyAlignment="1"/>
    <xf numFmtId="189" fontId="17" fillId="0" borderId="2" xfId="0" applyNumberFormat="1" applyFont="1" applyFill="1" applyBorder="1" applyAlignment="1">
      <alignment horizontal="right"/>
    </xf>
    <xf numFmtId="191" fontId="9" fillId="0" borderId="1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9" fontId="9" fillId="0" borderId="0" xfId="7" applyFont="1" applyFill="1" applyAlignment="1">
      <alignment horizontal="right"/>
    </xf>
    <xf numFmtId="0" fontId="10" fillId="0" borderId="0" xfId="0" applyFont="1" applyFill="1" applyAlignment="1">
      <alignment horizontal="center" vertical="center"/>
    </xf>
    <xf numFmtId="10" fontId="9" fillId="0" borderId="0" xfId="7" applyNumberFormat="1" applyFont="1" applyFill="1" applyAlignment="1"/>
    <xf numFmtId="190" fontId="9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191" fontId="7" fillId="0" borderId="0" xfId="1" quotePrefix="1" applyNumberFormat="1" applyFont="1" applyFill="1" applyAlignment="1">
      <alignment horizontal="center"/>
    </xf>
    <xf numFmtId="191" fontId="9" fillId="0" borderId="0" xfId="1" quotePrefix="1" applyNumberFormat="1" applyFont="1" applyFill="1" applyAlignment="1">
      <alignment horizontal="center"/>
    </xf>
    <xf numFmtId="188" fontId="9" fillId="0" borderId="0" xfId="1" quotePrefix="1" applyFont="1" applyFill="1" applyBorder="1" applyAlignment="1">
      <alignment horizontal="center"/>
    </xf>
    <xf numFmtId="188" fontId="9" fillId="0" borderId="0" xfId="1" quotePrefix="1" applyFont="1" applyFill="1" applyAlignment="1">
      <alignment horizontal="center"/>
    </xf>
    <xf numFmtId="0" fontId="7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191" fontId="9" fillId="0" borderId="0" xfId="0" applyNumberFormat="1" applyFont="1" applyFill="1" applyBorder="1" applyAlignment="1">
      <alignment horizontal="right"/>
    </xf>
    <xf numFmtId="191" fontId="7" fillId="0" borderId="0" xfId="0" applyNumberFormat="1" applyFont="1" applyFill="1" applyBorder="1" applyAlignment="1">
      <alignment horizontal="right"/>
    </xf>
    <xf numFmtId="191" fontId="9" fillId="0" borderId="0" xfId="1" quotePrefix="1" applyNumberFormat="1" applyFont="1" applyFill="1" applyBorder="1" applyAlignment="1">
      <alignment horizontal="center"/>
    </xf>
    <xf numFmtId="188" fontId="7" fillId="0" borderId="2" xfId="1" quotePrefix="1" applyNumberFormat="1" applyFont="1" applyFill="1" applyBorder="1" applyAlignment="1">
      <alignment horizontal="center"/>
    </xf>
    <xf numFmtId="188" fontId="7" fillId="0" borderId="0" xfId="1" quotePrefix="1" applyNumberFormat="1" applyFont="1" applyFill="1" applyBorder="1" applyAlignment="1">
      <alignment horizontal="center"/>
    </xf>
    <xf numFmtId="191" fontId="7" fillId="0" borderId="2" xfId="1" quotePrefix="1" applyNumberFormat="1" applyFont="1" applyFill="1" applyBorder="1" applyAlignment="1">
      <alignment horizontal="center"/>
    </xf>
    <xf numFmtId="191" fontId="7" fillId="0" borderId="0" xfId="1" quotePrefix="1" applyNumberFormat="1" applyFont="1" applyFill="1" applyBorder="1" applyAlignment="1">
      <alignment horizontal="center"/>
    </xf>
    <xf numFmtId="188" fontId="8" fillId="0" borderId="0" xfId="1" applyFont="1" applyFill="1" applyAlignment="1"/>
    <xf numFmtId="0" fontId="8" fillId="0" borderId="0" xfId="0" applyFont="1" applyFill="1"/>
    <xf numFmtId="188" fontId="14" fillId="0" borderId="0" xfId="1" applyFont="1" applyFill="1" applyBorder="1" applyAlignment="1">
      <alignment horizontal="right"/>
    </xf>
    <xf numFmtId="188" fontId="7" fillId="0" borderId="0" xfId="1" applyFont="1" applyFill="1" applyBorder="1" applyAlignment="1">
      <alignment horizontal="right"/>
    </xf>
    <xf numFmtId="189" fontId="9" fillId="0" borderId="0" xfId="0" quotePrefix="1" applyNumberFormat="1" applyFont="1" applyFill="1" applyBorder="1" applyAlignment="1">
      <alignment horizontal="right"/>
    </xf>
    <xf numFmtId="189" fontId="14" fillId="0" borderId="0" xfId="0" applyNumberFormat="1" applyFont="1" applyFill="1" applyBorder="1" applyAlignment="1">
      <alignment horizontal="right"/>
    </xf>
    <xf numFmtId="188" fontId="9" fillId="0" borderId="0" xfId="1" applyNumberFormat="1" applyFont="1" applyFill="1" applyAlignment="1"/>
    <xf numFmtId="191" fontId="9" fillId="0" borderId="0" xfId="0" applyNumberFormat="1" applyFont="1" applyFill="1" applyAlignment="1">
      <alignment horizontal="right"/>
    </xf>
    <xf numFmtId="193" fontId="9" fillId="0" borderId="0" xfId="1" applyNumberFormat="1" applyFont="1" applyFill="1" applyAlignment="1"/>
    <xf numFmtId="10" fontId="9" fillId="0" borderId="0" xfId="7" applyNumberFormat="1" applyFont="1" applyFill="1" applyBorder="1" applyAlignment="1"/>
    <xf numFmtId="49" fontId="8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191" fontId="9" fillId="0" borderId="1" xfId="1" applyNumberFormat="1" applyFont="1" applyFill="1" applyBorder="1" applyAlignment="1">
      <alignment horizontal="right"/>
    </xf>
    <xf numFmtId="188" fontId="9" fillId="0" borderId="1" xfId="1" applyFont="1" applyFill="1" applyBorder="1" applyAlignment="1">
      <alignment horizontal="center"/>
    </xf>
    <xf numFmtId="194" fontId="9" fillId="0" borderId="3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191" fontId="9" fillId="0" borderId="1" xfId="0" applyNumberFormat="1" applyFont="1" applyFill="1" applyBorder="1" applyAlignment="1">
      <alignment horizontal="right"/>
    </xf>
    <xf numFmtId="188" fontId="7" fillId="0" borderId="2" xfId="1" applyFont="1" applyFill="1" applyBorder="1" applyAlignment="1">
      <alignment horizontal="right"/>
    </xf>
    <xf numFmtId="188" fontId="9" fillId="0" borderId="0" xfId="0" applyNumberFormat="1" applyFont="1" applyFill="1" applyAlignment="1"/>
    <xf numFmtId="2" fontId="9" fillId="0" borderId="0" xfId="0" applyNumberFormat="1" applyFont="1" applyFill="1" applyAlignment="1"/>
    <xf numFmtId="9" fontId="9" fillId="0" borderId="0" xfId="7" applyFont="1" applyFill="1" applyAlignment="1"/>
    <xf numFmtId="191" fontId="9" fillId="0" borderId="0" xfId="1" applyNumberFormat="1" applyFont="1" applyFill="1" applyBorder="1" applyAlignment="1">
      <alignment horizontal="right"/>
    </xf>
    <xf numFmtId="189" fontId="7" fillId="0" borderId="1" xfId="8" applyNumberFormat="1" applyFont="1" applyFill="1" applyBorder="1" applyAlignment="1">
      <alignment horizontal="right"/>
    </xf>
    <xf numFmtId="189" fontId="7" fillId="0" borderId="4" xfId="8" applyNumberFormat="1" applyFont="1" applyFill="1" applyBorder="1" applyAlignment="1">
      <alignment horizontal="right"/>
    </xf>
    <xf numFmtId="0" fontId="9" fillId="0" borderId="0" xfId="8" applyFont="1" applyFill="1" applyAlignment="1"/>
    <xf numFmtId="0" fontId="9" fillId="0" borderId="0" xfId="8" applyFont="1" applyFill="1" applyBorder="1" applyAlignment="1"/>
    <xf numFmtId="3" fontId="7" fillId="0" borderId="0" xfId="8" applyNumberFormat="1" applyFont="1" applyFill="1" applyBorder="1" applyAlignment="1">
      <alignment wrapText="1"/>
    </xf>
    <xf numFmtId="194" fontId="9" fillId="0" borderId="3" xfId="8" applyNumberFormat="1" applyFont="1" applyFill="1" applyBorder="1" applyAlignment="1">
      <alignment horizontal="right"/>
    </xf>
    <xf numFmtId="9" fontId="9" fillId="0" borderId="0" xfId="0" applyNumberFormat="1" applyFont="1" applyFill="1" applyAlignment="1"/>
    <xf numFmtId="187" fontId="9" fillId="0" borderId="0" xfId="0" applyNumberFormat="1" applyFont="1" applyFill="1" applyAlignment="1"/>
    <xf numFmtId="189" fontId="9" fillId="0" borderId="1" xfId="8" applyNumberFormat="1" applyFont="1" applyFill="1" applyBorder="1" applyAlignment="1">
      <alignment horizontal="right"/>
    </xf>
    <xf numFmtId="0" fontId="9" fillId="0" borderId="0" xfId="6" applyFont="1" applyFill="1" applyAlignment="1"/>
    <xf numFmtId="10" fontId="9" fillId="0" borderId="0" xfId="0" applyNumberFormat="1" applyFont="1" applyFill="1" applyAlignment="1"/>
    <xf numFmtId="37" fontId="9" fillId="0" borderId="0" xfId="0" applyNumberFormat="1" applyFont="1" applyFill="1" applyAlignment="1"/>
    <xf numFmtId="191" fontId="7" fillId="0" borderId="0" xfId="1" applyNumberFormat="1" applyFont="1" applyFill="1" applyBorder="1" applyAlignment="1">
      <alignment horizontal="right"/>
    </xf>
    <xf numFmtId="191" fontId="7" fillId="0" borderId="2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 vertical="center"/>
    </xf>
    <xf numFmtId="189" fontId="7" fillId="0" borderId="4" xfId="8" applyNumberFormat="1" applyFont="1" applyFill="1" applyBorder="1" applyAlignment="1"/>
    <xf numFmtId="0" fontId="9" fillId="0" borderId="0" xfId="0" applyFont="1" applyFill="1" applyAlignment="1">
      <alignment horizontal="left" indent="1"/>
    </xf>
    <xf numFmtId="191" fontId="7" fillId="0" borderId="0" xfId="1" applyNumberFormat="1" applyFont="1" applyFill="1" applyAlignment="1">
      <alignment wrapText="1"/>
    </xf>
    <xf numFmtId="191" fontId="7" fillId="0" borderId="0" xfId="1" applyNumberFormat="1" applyFont="1" applyFill="1" applyBorder="1" applyAlignment="1">
      <alignment wrapText="1"/>
    </xf>
    <xf numFmtId="191" fontId="7" fillId="0" borderId="2" xfId="1" applyNumberFormat="1" applyFont="1" applyFill="1" applyBorder="1" applyAlignment="1">
      <alignment wrapText="1"/>
    </xf>
    <xf numFmtId="191" fontId="7" fillId="0" borderId="0" xfId="1" applyNumberFormat="1" applyFont="1" applyFill="1" applyAlignment="1">
      <alignment horizontal="center"/>
    </xf>
    <xf numFmtId="191" fontId="9" fillId="0" borderId="0" xfId="8" applyNumberFormat="1" applyFont="1" applyFill="1" applyBorder="1" applyAlignment="1"/>
    <xf numFmtId="188" fontId="9" fillId="0" borderId="0" xfId="1" quotePrefix="1" applyFont="1" applyFill="1" applyBorder="1" applyAlignment="1">
      <alignment horizontal="right"/>
    </xf>
    <xf numFmtId="191" fontId="9" fillId="0" borderId="0" xfId="1" quotePrefix="1" applyNumberFormat="1" applyFont="1" applyFill="1" applyBorder="1" applyAlignment="1">
      <alignment horizontal="right"/>
    </xf>
    <xf numFmtId="37" fontId="9" fillId="0" borderId="0" xfId="0" applyNumberFormat="1" applyFont="1" applyFill="1" applyAlignment="1">
      <alignment vertical="top"/>
    </xf>
    <xf numFmtId="37" fontId="9" fillId="0" borderId="0" xfId="0" applyNumberFormat="1" applyFont="1" applyFill="1" applyAlignment="1">
      <alignment horizontal="left" vertical="top"/>
    </xf>
    <xf numFmtId="187" fontId="9" fillId="0" borderId="0" xfId="0" applyNumberFormat="1" applyFont="1" applyFill="1" applyBorder="1" applyAlignment="1">
      <alignment horizontal="center" vertical="top"/>
    </xf>
    <xf numFmtId="187" fontId="9" fillId="0" borderId="0" xfId="0" applyNumberFormat="1" applyFont="1" applyFill="1" applyAlignment="1">
      <alignment horizontal="center" vertical="top"/>
    </xf>
    <xf numFmtId="187" fontId="9" fillId="0" borderId="0" xfId="1" applyNumberFormat="1" applyFont="1" applyFill="1" applyAlignment="1">
      <alignment horizontal="center" vertical="top"/>
    </xf>
    <xf numFmtId="187" fontId="7" fillId="0" borderId="0" xfId="0" applyNumberFormat="1" applyFont="1" applyFill="1" applyAlignment="1">
      <alignment horizontal="center" vertical="top"/>
    </xf>
    <xf numFmtId="187" fontId="7" fillId="0" borderId="0" xfId="1" applyNumberFormat="1" applyFont="1" applyFill="1" applyAlignment="1">
      <alignment horizontal="center" vertical="top"/>
    </xf>
    <xf numFmtId="187" fontId="7" fillId="0" borderId="3" xfId="0" applyNumberFormat="1" applyFont="1" applyFill="1" applyBorder="1" applyAlignment="1">
      <alignment horizontal="center" vertical="top"/>
    </xf>
    <xf numFmtId="187" fontId="7" fillId="0" borderId="3" xfId="1" applyNumberFormat="1" applyFont="1" applyFill="1" applyBorder="1" applyAlignment="1">
      <alignment horizontal="center" vertical="top"/>
    </xf>
    <xf numFmtId="191" fontId="7" fillId="0" borderId="3" xfId="1" applyNumberFormat="1" applyFont="1" applyFill="1" applyBorder="1" applyAlignment="1">
      <alignment horizontal="right"/>
    </xf>
    <xf numFmtId="37" fontId="19" fillId="0" borderId="0" xfId="0" applyNumberFormat="1" applyFont="1" applyFill="1" applyAlignment="1">
      <alignment vertical="top"/>
    </xf>
    <xf numFmtId="187" fontId="9" fillId="0" borderId="6" xfId="0" applyNumberFormat="1" applyFont="1" applyFill="1" applyBorder="1" applyAlignment="1">
      <alignment horizontal="center" vertical="top"/>
    </xf>
    <xf numFmtId="191" fontId="9" fillId="0" borderId="3" xfId="1" applyNumberFormat="1" applyFont="1" applyFill="1" applyBorder="1" applyAlignment="1">
      <alignment horizontal="right"/>
    </xf>
    <xf numFmtId="187" fontId="7" fillId="0" borderId="2" xfId="0" applyNumberFormat="1" applyFont="1" applyFill="1" applyBorder="1" applyAlignment="1">
      <alignment horizontal="center" vertical="top"/>
    </xf>
    <xf numFmtId="187" fontId="7" fillId="0" borderId="2" xfId="1" applyNumberFormat="1" applyFont="1" applyFill="1" applyBorder="1" applyAlignment="1">
      <alignment horizontal="center" vertical="top"/>
    </xf>
    <xf numFmtId="191" fontId="7" fillId="0" borderId="0" xfId="1" applyNumberFormat="1" applyFont="1" applyFill="1" applyAlignment="1">
      <alignment horizontal="right"/>
    </xf>
    <xf numFmtId="3" fontId="7" fillId="0" borderId="6" xfId="8" applyNumberFormat="1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37" fontId="20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</cellXfs>
  <cellStyles count="11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2" xfId="10" xr:uid="{9BBDCC47-3E7C-45A1-8CCD-C361C735658A}"/>
    <cellStyle name="Normal 3" xfId="4" xr:uid="{00000000-0005-0000-0000-000005000000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lakornkul/Documents/Work/GLAND/2020/Q1/1500%20Conso%20GLAND%20Leadsheet%20Q1'20%20V1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neral-Admin\Typist\In%20Process%202016-2017\p\PRE356\2017\M-03\Rev%201\pre356a171b-03t-1%20Rev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 of Account"/>
      <sheetName val="BAW"/>
      <sheetName val="RPT"/>
      <sheetName val="TB"/>
      <sheetName val="Pivot TB"/>
      <sheetName val="Entity"/>
      <sheetName val="CY_SUAM"/>
      <sheetName val="TB 31.12.2019"/>
      <sheetName val="MasterTB"/>
      <sheetName val="CY_Eliminate"/>
      <sheetName val="Adjust"/>
      <sheetName val="Adjust FAIR"/>
      <sheetName val="Reclass"/>
      <sheetName val="F2-1"/>
      <sheetName val="F2-2"/>
      <sheetName val="F2-3"/>
      <sheetName val="ZC300"/>
      <sheetName val="O300"/>
      <sheetName val="O500"/>
      <sheetName val="L300"/>
      <sheetName val="M300"/>
      <sheetName val="W300"/>
      <sheetName val="G100"/>
      <sheetName val="G400"/>
      <sheetName val="M500"/>
      <sheetName val="M400"/>
      <sheetName val="O400"/>
      <sheetName val="J400"/>
      <sheetName val="J300"/>
      <sheetName val="W400"/>
      <sheetName val="G300"/>
      <sheetName val="G500"/>
      <sheetName val="H300"/>
      <sheetName val="N300"/>
      <sheetName val="Q300"/>
      <sheetName val="V300"/>
      <sheetName val="V400"/>
      <sheetName val="Q400"/>
      <sheetName val="Q600"/>
      <sheetName val="V500"/>
      <sheetName val="V600"/>
      <sheetName val="V700"/>
      <sheetName val="X300"/>
      <sheetName val="Q500"/>
      <sheetName val="S300"/>
      <sheetName val="T500"/>
      <sheetName val="T400"/>
      <sheetName val="X400"/>
      <sheetName val="P300"/>
      <sheetName val="ZA300"/>
      <sheetName val="ZC400"/>
      <sheetName val="ZX300"/>
      <sheetName val="ZB300"/>
      <sheetName val="ZD300"/>
      <sheetName val="ZD400"/>
      <sheetName val="ZE300"/>
      <sheetName val="T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9">
          <cell r="AV19">
            <v>112485</v>
          </cell>
        </row>
        <row r="21">
          <cell r="AV21">
            <v>54778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"/>
      <sheetName val="PL6-7"/>
      <sheetName val="ส่วนของผู้ถือหุ้นรวม8"/>
      <sheetName val="ส่วนของผู้ถือหุ้นรวม9"/>
      <sheetName val="ส่วนของผู้ถือหุ้นเฉพาะ10"/>
      <sheetName val="ส่วนของผู้ถือหุ้นเฉพาะ11"/>
      <sheetName val="งบกระแสเงินสด"/>
      <sheetName val="Sheet1"/>
    </sheetNames>
    <sheetDataSet>
      <sheetData sheetId="0">
        <row r="11">
          <cell r="C11" t="str">
            <v>-</v>
          </cell>
        </row>
        <row r="77">
          <cell r="C77">
            <v>2232682</v>
          </cell>
          <cell r="G77">
            <v>2232682</v>
          </cell>
        </row>
        <row r="78">
          <cell r="C78">
            <v>1828229</v>
          </cell>
          <cell r="G78">
            <v>1828229</v>
          </cell>
        </row>
        <row r="79">
          <cell r="C79" t="str">
            <v>-</v>
          </cell>
        </row>
        <row r="82">
          <cell r="C82">
            <v>228530</v>
          </cell>
          <cell r="G82">
            <v>228530</v>
          </cell>
        </row>
        <row r="83">
          <cell r="C83">
            <v>32660144</v>
          </cell>
          <cell r="G83">
            <v>26538983</v>
          </cell>
        </row>
        <row r="85">
          <cell r="C85">
            <v>36896986</v>
          </cell>
        </row>
        <row r="86">
          <cell r="C86">
            <v>-9333</v>
          </cell>
        </row>
        <row r="87">
          <cell r="C87">
            <v>36887653</v>
          </cell>
          <cell r="G87">
            <v>30828424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T103"/>
  <sheetViews>
    <sheetView view="pageBreakPreview" topLeftCell="A25" zoomScaleNormal="90" zoomScaleSheetLayoutView="100" workbookViewId="0">
      <selection activeCell="B12" sqref="B12"/>
    </sheetView>
  </sheetViews>
  <sheetFormatPr defaultColWidth="9.28515625" defaultRowHeight="23.25" customHeight="1"/>
  <cols>
    <col min="1" max="1" width="40.85546875" style="1" customWidth="1"/>
    <col min="2" max="2" width="9.42578125" style="20" customWidth="1"/>
    <col min="3" max="3" width="13.7109375" style="3" customWidth="1"/>
    <col min="4" max="4" width="1" style="3" customWidth="1"/>
    <col min="5" max="5" width="12.5703125" style="3" customWidth="1"/>
    <col min="6" max="6" width="1" style="3" customWidth="1"/>
    <col min="7" max="7" width="13.5703125" style="3" customWidth="1"/>
    <col min="8" max="8" width="1" style="3" customWidth="1"/>
    <col min="9" max="9" width="12.5703125" style="3" customWidth="1"/>
    <col min="10" max="10" width="2.28515625" style="3" customWidth="1"/>
    <col min="11" max="11" width="14.7109375" style="3" customWidth="1"/>
    <col min="12" max="12" width="11.42578125" style="3" customWidth="1"/>
    <col min="13" max="13" width="10.28515625" style="3" customWidth="1"/>
    <col min="14" max="17" width="9.28515625" style="3" customWidth="1"/>
    <col min="18" max="16384" width="9.28515625" style="3"/>
  </cols>
  <sheetData>
    <row r="1" spans="1:20" s="31" customFormat="1" ht="23.25" customHeight="1">
      <c r="A1" s="36" t="s">
        <v>103</v>
      </c>
      <c r="B1" s="18"/>
    </row>
    <row r="2" spans="1:20" s="31" customFormat="1" ht="23.25" customHeight="1">
      <c r="A2" s="36" t="s">
        <v>55</v>
      </c>
      <c r="B2" s="18"/>
    </row>
    <row r="3" spans="1:20" ht="23.25" customHeight="1">
      <c r="B3" s="157"/>
      <c r="C3" s="158"/>
      <c r="D3" s="158"/>
      <c r="E3" s="158"/>
      <c r="F3" s="158"/>
      <c r="G3" s="158"/>
      <c r="H3" s="158"/>
      <c r="I3" s="158"/>
    </row>
    <row r="4" spans="1:20" ht="23.25" customHeight="1">
      <c r="B4" s="157"/>
      <c r="C4" s="161" t="s">
        <v>32</v>
      </c>
      <c r="D4" s="161"/>
      <c r="E4" s="161"/>
      <c r="F4" s="156"/>
      <c r="G4" s="161" t="s">
        <v>46</v>
      </c>
      <c r="H4" s="161"/>
      <c r="I4" s="161"/>
    </row>
    <row r="5" spans="1:20" ht="23.25" customHeight="1">
      <c r="B5" s="157"/>
      <c r="C5" s="158" t="s">
        <v>86</v>
      </c>
      <c r="D5" s="158"/>
      <c r="E5" s="158" t="s">
        <v>70</v>
      </c>
      <c r="F5" s="156"/>
      <c r="G5" s="158" t="s">
        <v>86</v>
      </c>
      <c r="H5" s="158"/>
      <c r="I5" s="158" t="s">
        <v>70</v>
      </c>
    </row>
    <row r="6" spans="1:20" ht="23.25" customHeight="1">
      <c r="A6" s="4" t="s">
        <v>2</v>
      </c>
      <c r="B6" s="155" t="s">
        <v>1</v>
      </c>
      <c r="C6" s="22">
        <v>2563</v>
      </c>
      <c r="D6" s="22"/>
      <c r="E6" s="22">
        <v>2562</v>
      </c>
      <c r="F6" s="22"/>
      <c r="G6" s="22">
        <v>2563</v>
      </c>
      <c r="H6" s="22"/>
      <c r="I6" s="22">
        <v>2562</v>
      </c>
    </row>
    <row r="7" spans="1:20" ht="23.25" customHeight="1">
      <c r="A7" s="4"/>
      <c r="B7" s="155"/>
      <c r="C7" s="22" t="s">
        <v>101</v>
      </c>
      <c r="D7" s="22"/>
      <c r="E7" s="22"/>
      <c r="F7" s="22"/>
      <c r="G7" s="22" t="s">
        <v>101</v>
      </c>
      <c r="H7" s="22"/>
      <c r="I7" s="22"/>
    </row>
    <row r="8" spans="1:20" ht="23.25" customHeight="1">
      <c r="B8" s="155"/>
      <c r="C8" s="160" t="s">
        <v>90</v>
      </c>
      <c r="D8" s="160"/>
      <c r="E8" s="160"/>
      <c r="F8" s="160"/>
      <c r="G8" s="160"/>
      <c r="H8" s="160"/>
      <c r="I8" s="160"/>
    </row>
    <row r="9" spans="1:20" ht="23.25" customHeight="1">
      <c r="A9" s="7" t="s">
        <v>3</v>
      </c>
      <c r="B9" s="157"/>
      <c r="C9" s="5" t="s">
        <v>75</v>
      </c>
      <c r="D9" s="5"/>
      <c r="E9" s="5" t="s">
        <v>75</v>
      </c>
      <c r="F9" s="5"/>
      <c r="G9" s="5"/>
      <c r="H9" s="5"/>
      <c r="I9" s="5"/>
    </row>
    <row r="10" spans="1:20" ht="23.25" customHeight="1">
      <c r="A10" s="1" t="s">
        <v>31</v>
      </c>
      <c r="B10" s="157"/>
      <c r="C10" s="29">
        <v>30705</v>
      </c>
      <c r="D10" s="90"/>
      <c r="E10" s="29">
        <v>51233</v>
      </c>
      <c r="F10" s="29"/>
      <c r="G10" s="29">
        <v>19334</v>
      </c>
      <c r="H10" s="29"/>
      <c r="I10" s="29">
        <v>35077</v>
      </c>
    </row>
    <row r="11" spans="1:20" ht="23.25" customHeight="1">
      <c r="A11" s="1" t="s">
        <v>150</v>
      </c>
      <c r="B11" s="157">
        <v>4</v>
      </c>
      <c r="C11" s="29">
        <v>262143</v>
      </c>
      <c r="D11" s="90"/>
      <c r="E11" s="29">
        <f>83884+363223</f>
        <v>447107</v>
      </c>
      <c r="F11" s="29"/>
      <c r="G11" s="29">
        <f>+'[1]F2-1'!$AV$19+'[1]F2-1'!$AV$21</f>
        <v>167263</v>
      </c>
      <c r="H11" s="29"/>
      <c r="I11" s="29">
        <f>90781+354872</f>
        <v>445653</v>
      </c>
    </row>
    <row r="12" spans="1:20" ht="23.25" customHeight="1">
      <c r="A12" s="1" t="s">
        <v>126</v>
      </c>
      <c r="B12" s="157">
        <v>4</v>
      </c>
      <c r="C12" s="29">
        <v>0</v>
      </c>
      <c r="D12" s="90"/>
      <c r="E12" s="29">
        <v>0</v>
      </c>
      <c r="F12" s="29"/>
      <c r="G12" s="29">
        <v>1524382</v>
      </c>
      <c r="H12" s="29"/>
      <c r="I12" s="29">
        <v>1502336</v>
      </c>
    </row>
    <row r="13" spans="1:20" ht="23.25" customHeight="1">
      <c r="A13" s="1" t="s">
        <v>54</v>
      </c>
      <c r="B13" s="157">
        <v>7</v>
      </c>
      <c r="C13" s="29">
        <v>939875</v>
      </c>
      <c r="D13" s="90"/>
      <c r="E13" s="29">
        <v>954050</v>
      </c>
      <c r="F13" s="29"/>
      <c r="G13" s="29">
        <v>623563</v>
      </c>
      <c r="H13" s="29"/>
      <c r="I13" s="29">
        <v>623563</v>
      </c>
    </row>
    <row r="14" spans="1:20" ht="23.25" customHeight="1">
      <c r="A14" s="1" t="s">
        <v>216</v>
      </c>
      <c r="B14" s="157"/>
      <c r="C14" s="29"/>
      <c r="D14" s="90"/>
      <c r="E14" s="29"/>
      <c r="F14" s="29"/>
      <c r="G14" s="29"/>
      <c r="H14" s="29"/>
      <c r="I14" s="29"/>
    </row>
    <row r="15" spans="1:20" ht="23.25" customHeight="1">
      <c r="A15" s="121" t="s">
        <v>218</v>
      </c>
      <c r="B15" s="157"/>
      <c r="C15" s="29">
        <v>61048</v>
      </c>
      <c r="D15" s="90"/>
      <c r="E15" s="29">
        <v>0</v>
      </c>
      <c r="F15" s="29"/>
      <c r="G15" s="29">
        <v>61048</v>
      </c>
      <c r="H15" s="29"/>
      <c r="I15" s="29">
        <v>0</v>
      </c>
    </row>
    <row r="16" spans="1:20" ht="23.25" customHeight="1">
      <c r="A16" s="1" t="s">
        <v>4</v>
      </c>
      <c r="B16" s="157"/>
      <c r="C16" s="29">
        <v>167980</v>
      </c>
      <c r="D16" s="90"/>
      <c r="E16" s="29">
        <v>180482</v>
      </c>
      <c r="F16" s="29"/>
      <c r="G16" s="29">
        <v>13207</v>
      </c>
      <c r="H16" s="29"/>
      <c r="I16" s="29">
        <v>26477</v>
      </c>
      <c r="R16" s="116"/>
      <c r="T16" s="116"/>
    </row>
    <row r="17" spans="1:13" ht="23.25" customHeight="1">
      <c r="A17" s="4" t="s">
        <v>5</v>
      </c>
      <c r="B17" s="157"/>
      <c r="C17" s="51">
        <f>SUM(C10:C16)</f>
        <v>1461751</v>
      </c>
      <c r="D17" s="14"/>
      <c r="E17" s="51">
        <f>SUM(E10:E16)</f>
        <v>1632872</v>
      </c>
      <c r="F17" s="14"/>
      <c r="G17" s="12">
        <f>SUM(G10:G16)</f>
        <v>2408797</v>
      </c>
      <c r="H17" s="14"/>
      <c r="I17" s="12">
        <f>SUM(I10:I16)</f>
        <v>2633106</v>
      </c>
    </row>
    <row r="18" spans="1:13" ht="23.25" customHeight="1">
      <c r="B18" s="157"/>
      <c r="C18" s="8"/>
      <c r="D18" s="8"/>
      <c r="E18" s="8"/>
      <c r="F18" s="8"/>
      <c r="G18" s="8"/>
      <c r="H18" s="8"/>
      <c r="I18" s="8"/>
    </row>
    <row r="19" spans="1:13" ht="23.25" customHeight="1">
      <c r="A19" s="7" t="s">
        <v>6</v>
      </c>
      <c r="B19" s="157"/>
      <c r="C19" s="8"/>
      <c r="D19" s="8"/>
      <c r="E19" s="8"/>
      <c r="F19" s="8"/>
      <c r="G19" s="8"/>
      <c r="H19" s="8"/>
      <c r="I19" s="8"/>
    </row>
    <row r="20" spans="1:13" ht="23.25" customHeight="1">
      <c r="A20" s="1" t="s">
        <v>131</v>
      </c>
      <c r="B20" s="157"/>
      <c r="C20" s="29">
        <v>1000</v>
      </c>
      <c r="D20" s="90"/>
      <c r="E20" s="29">
        <v>1000</v>
      </c>
      <c r="F20" s="29"/>
      <c r="G20" s="29">
        <v>0</v>
      </c>
      <c r="H20" s="29"/>
      <c r="I20" s="29">
        <v>0</v>
      </c>
    </row>
    <row r="21" spans="1:13" ht="23.25" customHeight="1">
      <c r="A21" s="1" t="s">
        <v>132</v>
      </c>
      <c r="B21" s="157">
        <v>8</v>
      </c>
      <c r="C21" s="29">
        <v>1108</v>
      </c>
      <c r="D21" s="90"/>
      <c r="E21" s="29">
        <v>791459</v>
      </c>
      <c r="F21" s="29"/>
      <c r="G21" s="29">
        <v>90</v>
      </c>
      <c r="H21" s="29"/>
      <c r="I21" s="29">
        <f>683773+1</f>
        <v>683774</v>
      </c>
    </row>
    <row r="22" spans="1:13" ht="23.25" customHeight="1">
      <c r="A22" s="1" t="s">
        <v>47</v>
      </c>
      <c r="B22" s="157">
        <v>9</v>
      </c>
      <c r="C22" s="29">
        <v>0</v>
      </c>
      <c r="D22" s="90"/>
      <c r="E22" s="29">
        <v>0</v>
      </c>
      <c r="F22" s="29"/>
      <c r="G22" s="29">
        <f>6817374+1</f>
        <v>6817375</v>
      </c>
      <c r="H22" s="29"/>
      <c r="I22" s="29">
        <v>6817375</v>
      </c>
    </row>
    <row r="23" spans="1:13" ht="23.25" customHeight="1">
      <c r="A23" s="1" t="s">
        <v>74</v>
      </c>
      <c r="B23" s="157">
        <v>8</v>
      </c>
      <c r="C23" s="29">
        <v>0</v>
      </c>
      <c r="D23" s="90"/>
      <c r="E23" s="29">
        <v>0</v>
      </c>
      <c r="F23" s="29"/>
      <c r="G23" s="29">
        <v>0</v>
      </c>
      <c r="H23" s="29"/>
      <c r="I23" s="29">
        <v>0</v>
      </c>
    </row>
    <row r="24" spans="1:13" ht="23.25" customHeight="1">
      <c r="A24" s="1" t="s">
        <v>133</v>
      </c>
      <c r="B24" s="157">
        <v>6</v>
      </c>
      <c r="C24" s="29">
        <v>104520</v>
      </c>
      <c r="D24" s="90"/>
      <c r="E24" s="29">
        <v>104520</v>
      </c>
      <c r="F24" s="29"/>
      <c r="G24" s="29">
        <v>0</v>
      </c>
      <c r="H24" s="29"/>
      <c r="I24" s="29">
        <v>0</v>
      </c>
    </row>
    <row r="25" spans="1:13" ht="23.25" customHeight="1">
      <c r="A25" s="1" t="s">
        <v>142</v>
      </c>
      <c r="B25" s="157">
        <v>4</v>
      </c>
      <c r="C25" s="29">
        <v>4012897</v>
      </c>
      <c r="D25" s="90"/>
      <c r="E25" s="29">
        <v>4039346</v>
      </c>
      <c r="F25" s="29"/>
      <c r="G25" s="29">
        <v>5032108</v>
      </c>
      <c r="H25" s="29"/>
      <c r="I25" s="29">
        <v>4977567</v>
      </c>
      <c r="L25" s="9"/>
      <c r="M25" s="101"/>
    </row>
    <row r="26" spans="1:13" ht="23.25" customHeight="1">
      <c r="A26" s="1" t="s">
        <v>56</v>
      </c>
      <c r="B26" s="157" t="s">
        <v>212</v>
      </c>
      <c r="C26" s="29">
        <f>22034076+230200</f>
        <v>22264276</v>
      </c>
      <c r="D26" s="90"/>
      <c r="E26" s="29">
        <v>22109333</v>
      </c>
      <c r="F26" s="29"/>
      <c r="G26" s="29">
        <f>10290912+12987</f>
        <v>10303899</v>
      </c>
      <c r="H26" s="29"/>
      <c r="I26" s="29">
        <v>10382913</v>
      </c>
    </row>
    <row r="27" spans="1:13" ht="23.25" customHeight="1">
      <c r="A27" s="1" t="s">
        <v>41</v>
      </c>
      <c r="B27" s="157"/>
      <c r="C27" s="29">
        <v>491100</v>
      </c>
      <c r="D27" s="90"/>
      <c r="E27" s="29">
        <v>488490</v>
      </c>
      <c r="F27" s="29"/>
      <c r="G27" s="29">
        <v>20068</v>
      </c>
      <c r="H27" s="29"/>
      <c r="I27" s="29">
        <v>15532</v>
      </c>
    </row>
    <row r="28" spans="1:13" ht="23.25" customHeight="1">
      <c r="A28" s="1" t="s">
        <v>134</v>
      </c>
      <c r="B28" s="157" t="s">
        <v>217</v>
      </c>
      <c r="C28" s="29">
        <v>0</v>
      </c>
      <c r="D28" s="90"/>
      <c r="E28" s="29">
        <v>97527</v>
      </c>
      <c r="F28" s="29"/>
      <c r="G28" s="29">
        <v>0</v>
      </c>
      <c r="H28" s="29"/>
      <c r="I28" s="29">
        <v>0</v>
      </c>
    </row>
    <row r="29" spans="1:13" ht="23.25" customHeight="1">
      <c r="A29" s="1" t="s">
        <v>49</v>
      </c>
      <c r="B29" s="157"/>
      <c r="C29" s="29">
        <v>3449</v>
      </c>
      <c r="D29" s="90"/>
      <c r="E29" s="29">
        <v>3720</v>
      </c>
      <c r="F29" s="29"/>
      <c r="G29" s="29">
        <f>3331-1</f>
        <v>3330</v>
      </c>
      <c r="H29" s="29"/>
      <c r="I29" s="29">
        <v>3570</v>
      </c>
    </row>
    <row r="30" spans="1:13" ht="23.25" customHeight="1">
      <c r="A30" s="1" t="s">
        <v>145</v>
      </c>
      <c r="B30" s="157"/>
      <c r="C30" s="29">
        <v>45928</v>
      </c>
      <c r="D30" s="90"/>
      <c r="E30" s="29">
        <v>19375</v>
      </c>
      <c r="F30" s="29"/>
      <c r="G30" s="29">
        <v>0</v>
      </c>
      <c r="H30" s="29"/>
      <c r="I30" s="29">
        <v>0</v>
      </c>
    </row>
    <row r="31" spans="1:13" ht="23.25" customHeight="1">
      <c r="A31" s="1" t="s">
        <v>42</v>
      </c>
      <c r="B31" s="157">
        <v>4</v>
      </c>
      <c r="C31" s="29">
        <v>456095</v>
      </c>
      <c r="D31" s="90"/>
      <c r="E31" s="29">
        <v>404856</v>
      </c>
      <c r="F31" s="29"/>
      <c r="G31" s="29">
        <v>4208</v>
      </c>
      <c r="H31" s="29"/>
      <c r="I31" s="29">
        <f>4208-1</f>
        <v>4207</v>
      </c>
      <c r="K31" s="9"/>
      <c r="L31" s="101"/>
    </row>
    <row r="32" spans="1:13" ht="23.25" customHeight="1">
      <c r="A32" s="4" t="s">
        <v>7</v>
      </c>
      <c r="B32" s="157"/>
      <c r="C32" s="12">
        <f>SUM(C20:C31)</f>
        <v>27380373</v>
      </c>
      <c r="D32" s="14"/>
      <c r="E32" s="12">
        <f>SUM(E20:E31)</f>
        <v>28059626</v>
      </c>
      <c r="F32" s="14"/>
      <c r="G32" s="51">
        <f>SUM(G20:G31)</f>
        <v>22181078</v>
      </c>
      <c r="H32" s="14"/>
      <c r="I32" s="51">
        <f>SUM(I20:I31)</f>
        <v>22884938</v>
      </c>
    </row>
    <row r="33" spans="1:17" ht="23.25" customHeight="1">
      <c r="A33" s="4"/>
      <c r="B33" s="157"/>
      <c r="C33" s="11"/>
      <c r="D33" s="14"/>
      <c r="E33" s="11"/>
      <c r="F33" s="14"/>
      <c r="G33" s="11"/>
      <c r="H33" s="14"/>
      <c r="I33" s="11"/>
    </row>
    <row r="34" spans="1:17" ht="23.25" customHeight="1" thickBot="1">
      <c r="A34" s="4" t="s">
        <v>8</v>
      </c>
      <c r="B34" s="157"/>
      <c r="C34" s="13">
        <f>+C17+C32</f>
        <v>28842124</v>
      </c>
      <c r="D34" s="14"/>
      <c r="E34" s="13">
        <f>+E17++E32</f>
        <v>29692498</v>
      </c>
      <c r="F34" s="14"/>
      <c r="G34" s="13">
        <f>+G17+G32</f>
        <v>24589875</v>
      </c>
      <c r="H34" s="14"/>
      <c r="I34" s="13">
        <f>+I17+I32</f>
        <v>25518044</v>
      </c>
    </row>
    <row r="35" spans="1:17" ht="23.25" customHeight="1" thickTop="1">
      <c r="A35" s="4"/>
      <c r="B35" s="157"/>
      <c r="C35" s="11"/>
      <c r="D35" s="14"/>
      <c r="E35" s="11"/>
      <c r="F35" s="14"/>
      <c r="G35" s="11"/>
      <c r="H35" s="14"/>
      <c r="I35" s="11"/>
    </row>
    <row r="36" spans="1:17" ht="23.25" customHeight="1">
      <c r="A36" s="4" t="s">
        <v>103</v>
      </c>
    </row>
    <row r="37" spans="1:17" ht="23.25" customHeight="1">
      <c r="A37" s="4" t="s">
        <v>55</v>
      </c>
    </row>
    <row r="38" spans="1:17" ht="23.25" customHeight="1">
      <c r="A38" s="4"/>
    </row>
    <row r="39" spans="1:17" ht="23.25" customHeight="1">
      <c r="B39" s="157"/>
      <c r="C39" s="161" t="s">
        <v>32</v>
      </c>
      <c r="D39" s="161"/>
      <c r="E39" s="161"/>
      <c r="F39" s="156"/>
      <c r="G39" s="161" t="s">
        <v>46</v>
      </c>
      <c r="H39" s="161"/>
      <c r="I39" s="161"/>
    </row>
    <row r="40" spans="1:17" ht="23.25" customHeight="1">
      <c r="B40" s="157"/>
      <c r="C40" s="158" t="s">
        <v>86</v>
      </c>
      <c r="D40" s="158"/>
      <c r="E40" s="158" t="s">
        <v>70</v>
      </c>
      <c r="F40" s="156"/>
      <c r="G40" s="158" t="s">
        <v>86</v>
      </c>
      <c r="H40" s="158"/>
      <c r="I40" s="158" t="s">
        <v>70</v>
      </c>
    </row>
    <row r="41" spans="1:17" ht="23.25" customHeight="1">
      <c r="A41" s="4" t="s">
        <v>9</v>
      </c>
      <c r="B41" s="155" t="s">
        <v>1</v>
      </c>
      <c r="C41" s="22">
        <v>2563</v>
      </c>
      <c r="D41" s="22"/>
      <c r="E41" s="22">
        <v>2562</v>
      </c>
      <c r="F41" s="22"/>
      <c r="G41" s="22">
        <v>2563</v>
      </c>
      <c r="H41" s="22"/>
      <c r="I41" s="22">
        <v>2562</v>
      </c>
    </row>
    <row r="42" spans="1:17" ht="23.25" customHeight="1">
      <c r="A42" s="4"/>
      <c r="B42" s="155"/>
      <c r="C42" s="22" t="s">
        <v>101</v>
      </c>
      <c r="D42" s="22"/>
      <c r="E42" s="22"/>
      <c r="F42" s="22"/>
      <c r="G42" s="22" t="s">
        <v>101</v>
      </c>
      <c r="H42" s="22"/>
      <c r="I42" s="22"/>
    </row>
    <row r="43" spans="1:17" ht="23.25" customHeight="1">
      <c r="B43" s="155"/>
      <c r="C43" s="160" t="s">
        <v>90</v>
      </c>
      <c r="D43" s="160"/>
      <c r="E43" s="160"/>
      <c r="F43" s="160"/>
      <c r="G43" s="160"/>
      <c r="H43" s="160"/>
      <c r="I43" s="160"/>
    </row>
    <row r="44" spans="1:17" ht="23.25" customHeight="1">
      <c r="A44" s="7" t="s">
        <v>10</v>
      </c>
      <c r="B44" s="157"/>
      <c r="C44" s="5"/>
      <c r="D44" s="5"/>
      <c r="E44" s="5"/>
      <c r="F44" s="5"/>
      <c r="G44" s="5"/>
      <c r="H44" s="5"/>
      <c r="I44" s="5"/>
    </row>
    <row r="45" spans="1:17" ht="23.25" customHeight="1">
      <c r="A45" s="129" t="s">
        <v>148</v>
      </c>
      <c r="B45" s="157">
        <v>11</v>
      </c>
      <c r="C45" s="29">
        <v>300000</v>
      </c>
      <c r="D45" s="29"/>
      <c r="E45" s="29">
        <v>1370000</v>
      </c>
      <c r="F45" s="29"/>
      <c r="G45" s="29">
        <v>300000</v>
      </c>
      <c r="H45" s="29"/>
      <c r="I45" s="29">
        <v>1370000</v>
      </c>
      <c r="K45" s="29"/>
      <c r="L45" s="8"/>
      <c r="M45" s="6"/>
      <c r="N45" s="8"/>
      <c r="O45" s="8"/>
      <c r="P45" s="8"/>
      <c r="Q45" s="8"/>
    </row>
    <row r="46" spans="1:17" ht="23.25" customHeight="1">
      <c r="A46" s="129" t="s">
        <v>151</v>
      </c>
      <c r="B46" s="157">
        <v>4</v>
      </c>
      <c r="C46" s="29">
        <f>586865-C53-C54</f>
        <v>412905</v>
      </c>
      <c r="D46" s="29"/>
      <c r="E46" s="29">
        <f>255763+162327</f>
        <v>418090</v>
      </c>
      <c r="F46" s="29"/>
      <c r="G46" s="29">
        <f>281748-G53-G54</f>
        <v>277432</v>
      </c>
      <c r="H46" s="29"/>
      <c r="I46" s="29">
        <f>161464+130716</f>
        <v>292180</v>
      </c>
      <c r="K46" s="29"/>
      <c r="L46" s="8"/>
      <c r="M46" s="6"/>
      <c r="N46" s="8"/>
      <c r="O46" s="8"/>
      <c r="P46" s="8"/>
      <c r="Q46" s="8"/>
    </row>
    <row r="47" spans="1:17" ht="23.25" customHeight="1">
      <c r="A47" s="1" t="s">
        <v>180</v>
      </c>
      <c r="B47" s="157"/>
      <c r="C47" s="29"/>
      <c r="D47" s="29"/>
      <c r="E47" s="29"/>
      <c r="F47" s="29"/>
      <c r="G47" s="29"/>
      <c r="H47" s="29"/>
      <c r="I47" s="29"/>
      <c r="K47" s="29"/>
      <c r="L47" s="8"/>
      <c r="M47" s="6"/>
      <c r="N47" s="8"/>
      <c r="O47" s="8"/>
      <c r="P47" s="8"/>
      <c r="Q47" s="8"/>
    </row>
    <row r="48" spans="1:17" ht="23.25" customHeight="1">
      <c r="A48" s="121" t="s">
        <v>181</v>
      </c>
      <c r="B48" s="159">
        <v>4</v>
      </c>
      <c r="C48" s="29">
        <v>4380</v>
      </c>
      <c r="D48" s="29"/>
      <c r="E48" s="29">
        <v>0</v>
      </c>
      <c r="F48" s="29"/>
      <c r="G48" s="29">
        <v>4553</v>
      </c>
      <c r="H48" s="29"/>
      <c r="I48" s="29">
        <v>0</v>
      </c>
      <c r="K48" s="29"/>
      <c r="L48" s="8"/>
      <c r="M48" s="6"/>
      <c r="N48" s="8"/>
      <c r="O48" s="8"/>
      <c r="P48" s="8"/>
      <c r="Q48" s="8"/>
    </row>
    <row r="49" spans="1:12" ht="23.25" customHeight="1">
      <c r="A49" s="129" t="s">
        <v>144</v>
      </c>
      <c r="B49" s="157" t="s">
        <v>208</v>
      </c>
      <c r="C49" s="29">
        <v>10</v>
      </c>
      <c r="D49" s="29"/>
      <c r="E49" s="29">
        <v>170745</v>
      </c>
      <c r="F49" s="29"/>
      <c r="G49" s="29">
        <v>3180617</v>
      </c>
      <c r="H49" s="29"/>
      <c r="I49" s="29">
        <v>3218432</v>
      </c>
      <c r="K49" s="101"/>
    </row>
    <row r="50" spans="1:12" ht="23.25" customHeight="1">
      <c r="A50" s="129" t="s">
        <v>172</v>
      </c>
      <c r="B50" s="157">
        <v>11</v>
      </c>
      <c r="C50" s="29">
        <f>1399406-1</f>
        <v>1399405</v>
      </c>
      <c r="D50" s="29"/>
      <c r="E50" s="29">
        <v>1399081</v>
      </c>
      <c r="F50" s="29"/>
      <c r="G50" s="29">
        <v>1399405</v>
      </c>
      <c r="H50" s="29"/>
      <c r="I50" s="29">
        <v>1399081</v>
      </c>
    </row>
    <row r="51" spans="1:12" ht="23.25" customHeight="1">
      <c r="A51" s="129" t="s">
        <v>125</v>
      </c>
      <c r="B51" s="157"/>
      <c r="C51" s="29"/>
      <c r="D51" s="29"/>
      <c r="E51" s="29"/>
      <c r="F51" s="29"/>
      <c r="G51" s="29"/>
      <c r="H51" s="29"/>
      <c r="I51" s="29"/>
      <c r="K51" s="45"/>
      <c r="L51" s="27"/>
    </row>
    <row r="52" spans="1:12" ht="23.25" customHeight="1">
      <c r="A52" s="129" t="s">
        <v>173</v>
      </c>
      <c r="B52" s="157">
        <v>4</v>
      </c>
      <c r="C52" s="29">
        <f>234070+1</f>
        <v>234071</v>
      </c>
      <c r="D52" s="29"/>
      <c r="E52" s="29">
        <v>234468</v>
      </c>
      <c r="F52" s="29"/>
      <c r="G52" s="29">
        <v>154534</v>
      </c>
      <c r="H52" s="29"/>
      <c r="I52" s="29">
        <v>154942</v>
      </c>
      <c r="K52" s="45"/>
      <c r="L52" s="27"/>
    </row>
    <row r="53" spans="1:12" ht="23.25" customHeight="1">
      <c r="A53" s="130" t="s">
        <v>124</v>
      </c>
      <c r="B53" s="157">
        <v>4</v>
      </c>
      <c r="C53" s="29">
        <v>173272</v>
      </c>
      <c r="D53" s="29"/>
      <c r="E53" s="29">
        <v>181696</v>
      </c>
      <c r="F53" s="29"/>
      <c r="G53" s="29">
        <v>4316</v>
      </c>
      <c r="H53" s="29"/>
      <c r="I53" s="29">
        <v>3842</v>
      </c>
    </row>
    <row r="54" spans="1:12" ht="23.25" customHeight="1">
      <c r="A54" s="130" t="s">
        <v>174</v>
      </c>
      <c r="B54" s="157"/>
      <c r="C54" s="29">
        <v>688</v>
      </c>
      <c r="D54" s="29"/>
      <c r="E54" s="29">
        <f>13219</f>
        <v>13219</v>
      </c>
      <c r="F54" s="29"/>
      <c r="G54" s="29">
        <v>0</v>
      </c>
      <c r="H54" s="29"/>
      <c r="I54" s="29">
        <v>0</v>
      </c>
      <c r="K54" s="3" t="s">
        <v>202</v>
      </c>
    </row>
    <row r="55" spans="1:12" ht="23.25" customHeight="1">
      <c r="A55" s="129" t="s">
        <v>175</v>
      </c>
      <c r="B55" s="157"/>
      <c r="C55" s="29">
        <v>299393</v>
      </c>
      <c r="D55" s="29"/>
      <c r="E55" s="29">
        <v>308677</v>
      </c>
      <c r="F55" s="29"/>
      <c r="G55" s="29">
        <v>8142</v>
      </c>
      <c r="H55" s="29"/>
      <c r="I55" s="29">
        <v>10520</v>
      </c>
    </row>
    <row r="56" spans="1:12" ht="23.25" customHeight="1">
      <c r="A56" s="130" t="s">
        <v>176</v>
      </c>
      <c r="B56" s="157"/>
      <c r="C56" s="29">
        <v>92213</v>
      </c>
      <c r="D56" s="29"/>
      <c r="E56" s="29">
        <v>38213</v>
      </c>
      <c r="F56" s="29"/>
      <c r="G56" s="29">
        <v>30105</v>
      </c>
      <c r="H56" s="29"/>
      <c r="I56" s="29">
        <v>0</v>
      </c>
    </row>
    <row r="57" spans="1:12" ht="23.25" customHeight="1">
      <c r="A57" s="130" t="s">
        <v>21</v>
      </c>
      <c r="B57" s="157"/>
      <c r="C57" s="29">
        <v>12073</v>
      </c>
      <c r="D57" s="29"/>
      <c r="E57" s="29">
        <v>9529</v>
      </c>
      <c r="F57" s="29"/>
      <c r="G57" s="29">
        <v>5477</v>
      </c>
      <c r="H57" s="29"/>
      <c r="I57" s="29">
        <v>6150</v>
      </c>
    </row>
    <row r="58" spans="1:12" ht="23.25" customHeight="1">
      <c r="A58" s="4" t="s">
        <v>11</v>
      </c>
      <c r="B58" s="157"/>
      <c r="C58" s="12">
        <f>SUM(C45:C57)</f>
        <v>2928410</v>
      </c>
      <c r="D58" s="11"/>
      <c r="E58" s="12">
        <f>SUM(E45:E57)</f>
        <v>4143718</v>
      </c>
      <c r="F58" s="11"/>
      <c r="G58" s="12">
        <f>SUM(G45:G57)</f>
        <v>5364581</v>
      </c>
      <c r="H58" s="11"/>
      <c r="I58" s="12">
        <f>SUM(I45:I57)</f>
        <v>6455147</v>
      </c>
    </row>
    <row r="59" spans="1:12" ht="16.5" customHeight="1">
      <c r="A59" s="4"/>
      <c r="B59" s="157"/>
      <c r="C59" s="8"/>
      <c r="D59" s="8"/>
      <c r="E59" s="8"/>
      <c r="F59" s="8"/>
      <c r="G59" s="8"/>
      <c r="H59" s="8"/>
      <c r="I59" s="8"/>
    </row>
    <row r="60" spans="1:12" ht="23.25" customHeight="1">
      <c r="A60" s="7" t="s">
        <v>12</v>
      </c>
      <c r="B60" s="157"/>
      <c r="C60" s="8"/>
      <c r="D60" s="8"/>
      <c r="E60" s="8"/>
      <c r="F60" s="8"/>
      <c r="G60" s="8"/>
      <c r="H60" s="8"/>
      <c r="I60" s="8"/>
    </row>
    <row r="61" spans="1:12" ht="23.25" customHeight="1">
      <c r="A61" s="1" t="s">
        <v>135</v>
      </c>
      <c r="B61" s="157">
        <v>11</v>
      </c>
      <c r="C61" s="29">
        <v>2531906</v>
      </c>
      <c r="D61" s="29"/>
      <c r="E61" s="29">
        <v>2531906</v>
      </c>
      <c r="F61" s="29"/>
      <c r="G61" s="29">
        <v>0</v>
      </c>
      <c r="H61" s="29"/>
      <c r="I61" s="29">
        <v>0</v>
      </c>
    </row>
    <row r="62" spans="1:12" ht="23.25" customHeight="1">
      <c r="A62" s="1" t="s">
        <v>177</v>
      </c>
      <c r="B62" s="159">
        <v>4</v>
      </c>
      <c r="C62" s="29">
        <v>128645</v>
      </c>
      <c r="D62" s="29"/>
      <c r="E62" s="29">
        <v>0</v>
      </c>
      <c r="F62" s="29"/>
      <c r="G62" s="29">
        <v>8086</v>
      </c>
      <c r="H62" s="29"/>
      <c r="I62" s="29">
        <v>0</v>
      </c>
    </row>
    <row r="63" spans="1:12" ht="23.25" customHeight="1">
      <c r="A63" s="1" t="s">
        <v>43</v>
      </c>
      <c r="B63" s="157">
        <v>11</v>
      </c>
      <c r="C63" s="29">
        <v>2446844</v>
      </c>
      <c r="D63" s="29"/>
      <c r="E63" s="29">
        <v>2446331</v>
      </c>
      <c r="F63" s="29"/>
      <c r="G63" s="29">
        <v>2446844</v>
      </c>
      <c r="H63" s="29"/>
      <c r="I63" s="29">
        <v>2446331</v>
      </c>
    </row>
    <row r="64" spans="1:12" ht="23.25" customHeight="1">
      <c r="A64" s="1" t="s">
        <v>136</v>
      </c>
      <c r="B64" s="157"/>
      <c r="C64" s="29">
        <v>1399908</v>
      </c>
      <c r="D64" s="29"/>
      <c r="E64" s="29">
        <v>1410583</v>
      </c>
      <c r="F64" s="29"/>
      <c r="G64" s="29">
        <v>856974</v>
      </c>
      <c r="H64" s="29"/>
      <c r="I64" s="29">
        <v>870535</v>
      </c>
    </row>
    <row r="65" spans="1:12" ht="23.25" customHeight="1">
      <c r="A65" s="1" t="s">
        <v>137</v>
      </c>
      <c r="B65" s="157">
        <v>4</v>
      </c>
      <c r="C65" s="29">
        <v>219308</v>
      </c>
      <c r="D65" s="29"/>
      <c r="E65" s="29">
        <v>212585</v>
      </c>
      <c r="F65" s="29"/>
      <c r="G65" s="29">
        <v>11588</v>
      </c>
      <c r="H65" s="29"/>
      <c r="I65" s="29">
        <v>11903</v>
      </c>
      <c r="K65" s="45"/>
    </row>
    <row r="66" spans="1:12" ht="23.25" customHeight="1">
      <c r="A66" s="1" t="s">
        <v>82</v>
      </c>
      <c r="B66" s="157"/>
      <c r="C66" s="29"/>
      <c r="D66" s="29"/>
      <c r="E66" s="29"/>
      <c r="F66" s="29"/>
      <c r="G66" s="29"/>
      <c r="H66" s="29"/>
      <c r="I66" s="29"/>
      <c r="K66" s="9"/>
      <c r="L66" s="45"/>
    </row>
    <row r="67" spans="1:12" ht="23.25" customHeight="1">
      <c r="A67" s="1" t="s">
        <v>138</v>
      </c>
      <c r="B67" s="157"/>
      <c r="C67" s="29">
        <v>20208</v>
      </c>
      <c r="D67" s="29"/>
      <c r="E67" s="29">
        <v>19473</v>
      </c>
      <c r="F67" s="29"/>
      <c r="G67" s="29">
        <v>17898</v>
      </c>
      <c r="H67" s="29"/>
      <c r="I67" s="29">
        <v>17239</v>
      </c>
    </row>
    <row r="68" spans="1:12" ht="23.25" customHeight="1">
      <c r="A68" s="1" t="s">
        <v>125</v>
      </c>
      <c r="B68" s="157">
        <v>4</v>
      </c>
      <c r="C68" s="29">
        <v>5156054</v>
      </c>
      <c r="D68" s="29"/>
      <c r="E68" s="29">
        <v>5213978</v>
      </c>
      <c r="F68" s="29"/>
      <c r="G68" s="29">
        <v>4072714</v>
      </c>
      <c r="H68" s="29"/>
      <c r="I68" s="29">
        <v>4110838</v>
      </c>
      <c r="K68" s="45"/>
      <c r="L68" s="27"/>
    </row>
    <row r="69" spans="1:12" ht="23.25" customHeight="1">
      <c r="A69" s="4" t="s">
        <v>48</v>
      </c>
      <c r="B69" s="16"/>
      <c r="C69" s="12">
        <f>SUM(C61:C68)</f>
        <v>11902873</v>
      </c>
      <c r="D69" s="14"/>
      <c r="E69" s="12">
        <f>SUM(E61:E68)</f>
        <v>11834856</v>
      </c>
      <c r="F69" s="14"/>
      <c r="G69" s="12">
        <f>SUM(G61:G68)</f>
        <v>7414104</v>
      </c>
      <c r="H69" s="14"/>
      <c r="I69" s="12">
        <f>SUM(I61:I68)</f>
        <v>7456846</v>
      </c>
    </row>
    <row r="70" spans="1:12" ht="19.5" customHeight="1">
      <c r="B70" s="157"/>
      <c r="C70" s="10"/>
      <c r="D70" s="8"/>
      <c r="E70" s="10"/>
      <c r="F70" s="8"/>
      <c r="G70" s="10"/>
      <c r="H70" s="8"/>
      <c r="I70" s="10"/>
    </row>
    <row r="71" spans="1:12" ht="23.25" customHeight="1">
      <c r="A71" s="4" t="s">
        <v>13</v>
      </c>
      <c r="B71" s="157"/>
      <c r="C71" s="30">
        <f>+C58+C69</f>
        <v>14831283</v>
      </c>
      <c r="D71" s="14"/>
      <c r="E71" s="30">
        <f>+E58+E69</f>
        <v>15978574</v>
      </c>
      <c r="F71" s="14"/>
      <c r="G71" s="30">
        <f>+G58+G69</f>
        <v>12778685</v>
      </c>
      <c r="H71" s="14"/>
      <c r="I71" s="30">
        <f>+I58+I69</f>
        <v>13911993</v>
      </c>
    </row>
    <row r="72" spans="1:12" s="15" customFormat="1" ht="23.25" customHeight="1">
      <c r="A72" s="4"/>
      <c r="B72" s="157"/>
      <c r="C72" s="10"/>
      <c r="D72" s="8"/>
      <c r="E72" s="10"/>
      <c r="F72" s="8"/>
      <c r="G72" s="8"/>
      <c r="H72" s="8"/>
      <c r="I72" s="8"/>
    </row>
    <row r="73" spans="1:12" ht="23.25" customHeight="1">
      <c r="A73" s="4" t="s">
        <v>103</v>
      </c>
    </row>
    <row r="74" spans="1:12" ht="23.25" customHeight="1">
      <c r="A74" s="4" t="s">
        <v>55</v>
      </c>
    </row>
    <row r="75" spans="1:12" ht="23.25" customHeight="1">
      <c r="A75" s="4"/>
    </row>
    <row r="76" spans="1:12" ht="23.25" customHeight="1">
      <c r="B76" s="157"/>
      <c r="C76" s="161" t="s">
        <v>32</v>
      </c>
      <c r="D76" s="161"/>
      <c r="E76" s="161"/>
      <c r="F76" s="156"/>
      <c r="G76" s="161" t="s">
        <v>46</v>
      </c>
      <c r="H76" s="161"/>
      <c r="I76" s="161"/>
    </row>
    <row r="77" spans="1:12" ht="23.25" customHeight="1">
      <c r="B77" s="157"/>
      <c r="C77" s="158" t="s">
        <v>86</v>
      </c>
      <c r="D77" s="158"/>
      <c r="E77" s="158" t="s">
        <v>70</v>
      </c>
      <c r="F77" s="156"/>
      <c r="G77" s="158" t="s">
        <v>86</v>
      </c>
      <c r="H77" s="158"/>
      <c r="I77" s="158" t="s">
        <v>70</v>
      </c>
    </row>
    <row r="78" spans="1:12" ht="23.25" customHeight="1">
      <c r="A78" s="4" t="s">
        <v>9</v>
      </c>
      <c r="B78" s="155"/>
      <c r="C78" s="22">
        <v>2563</v>
      </c>
      <c r="D78" s="22"/>
      <c r="E78" s="22">
        <v>2562</v>
      </c>
      <c r="F78" s="22"/>
      <c r="G78" s="22">
        <v>2563</v>
      </c>
      <c r="H78" s="22"/>
      <c r="I78" s="22">
        <v>2562</v>
      </c>
    </row>
    <row r="79" spans="1:12" ht="23.25" customHeight="1">
      <c r="A79" s="4"/>
      <c r="B79" s="155"/>
      <c r="C79" s="22" t="s">
        <v>101</v>
      </c>
      <c r="D79" s="22"/>
      <c r="E79" s="22"/>
      <c r="F79" s="22"/>
      <c r="G79" s="22" t="s">
        <v>101</v>
      </c>
      <c r="H79" s="22"/>
      <c r="I79" s="22"/>
    </row>
    <row r="80" spans="1:12" ht="23.25" customHeight="1">
      <c r="B80" s="155"/>
      <c r="C80" s="160" t="s">
        <v>90</v>
      </c>
      <c r="D80" s="160"/>
      <c r="E80" s="160"/>
      <c r="F80" s="160"/>
      <c r="G80" s="160"/>
      <c r="H80" s="160"/>
      <c r="I80" s="160"/>
    </row>
    <row r="81" spans="1:12" ht="23.25" customHeight="1">
      <c r="A81" s="7" t="s">
        <v>14</v>
      </c>
      <c r="B81" s="157"/>
      <c r="C81" s="5"/>
      <c r="D81" s="5"/>
      <c r="E81" s="5"/>
      <c r="F81" s="5"/>
      <c r="G81" s="5"/>
      <c r="H81" s="5"/>
      <c r="I81" s="5"/>
    </row>
    <row r="82" spans="1:12" ht="23.25" customHeight="1">
      <c r="A82" s="1" t="s">
        <v>0</v>
      </c>
      <c r="B82" s="157"/>
      <c r="C82" s="8"/>
      <c r="D82" s="8"/>
      <c r="E82" s="8"/>
      <c r="F82" s="8"/>
      <c r="G82" s="8"/>
      <c r="H82" s="8"/>
      <c r="I82" s="8"/>
    </row>
    <row r="83" spans="1:12" ht="23.25" customHeight="1">
      <c r="A83" s="1" t="s">
        <v>33</v>
      </c>
      <c r="B83" s="157"/>
    </row>
    <row r="84" spans="1:12" ht="23.25" customHeight="1" thickBot="1">
      <c r="A84" s="119" t="s">
        <v>194</v>
      </c>
      <c r="B84" s="157"/>
      <c r="C84" s="29">
        <v>6535484</v>
      </c>
      <c r="D84" s="29"/>
      <c r="E84" s="29">
        <v>6535484</v>
      </c>
      <c r="F84" s="29"/>
      <c r="G84" s="141">
        <v>6535484</v>
      </c>
      <c r="H84" s="29"/>
      <c r="I84" s="141">
        <v>6535484</v>
      </c>
    </row>
    <row r="85" spans="1:12" ht="23.25" customHeight="1" thickTop="1">
      <c r="A85" s="1" t="s">
        <v>34</v>
      </c>
      <c r="B85" s="157"/>
      <c r="C85" s="140"/>
      <c r="D85" s="8"/>
      <c r="E85" s="140"/>
      <c r="F85" s="8"/>
      <c r="G85" s="131"/>
      <c r="H85" s="8"/>
      <c r="I85" s="131"/>
    </row>
    <row r="86" spans="1:12" ht="23.25" customHeight="1">
      <c r="A86" s="119" t="s">
        <v>195</v>
      </c>
      <c r="B86" s="157"/>
      <c r="C86" s="29">
        <v>6499830</v>
      </c>
      <c r="D86" s="29"/>
      <c r="E86" s="29">
        <v>6499830</v>
      </c>
      <c r="F86" s="29"/>
      <c r="G86" s="29">
        <v>6499830</v>
      </c>
      <c r="H86" s="29"/>
      <c r="I86" s="29">
        <v>6499830</v>
      </c>
    </row>
    <row r="87" spans="1:12" ht="23.25" customHeight="1">
      <c r="A87" s="1" t="s">
        <v>57</v>
      </c>
      <c r="B87" s="157"/>
      <c r="C87" s="29">
        <v>1532321</v>
      </c>
      <c r="D87" s="29"/>
      <c r="E87" s="29">
        <v>1532321</v>
      </c>
      <c r="F87" s="29"/>
      <c r="G87" s="29">
        <v>1532321</v>
      </c>
      <c r="H87" s="29"/>
      <c r="I87" s="29">
        <v>1532321</v>
      </c>
    </row>
    <row r="88" spans="1:12" ht="23.25" customHeight="1">
      <c r="A88" s="1" t="s">
        <v>139</v>
      </c>
      <c r="B88" s="157"/>
      <c r="C88" s="29"/>
      <c r="D88" s="29"/>
      <c r="E88" s="29"/>
      <c r="F88" s="29"/>
      <c r="G88" s="29"/>
      <c r="H88" s="29"/>
      <c r="I88" s="29"/>
    </row>
    <row r="89" spans="1:12" ht="23.25" customHeight="1">
      <c r="A89" s="1" t="s">
        <v>140</v>
      </c>
      <c r="B89" s="157"/>
      <c r="C89" s="29">
        <v>-423185</v>
      </c>
      <c r="D89" s="29"/>
      <c r="E89" s="29">
        <v>-423185</v>
      </c>
      <c r="F89" s="29"/>
      <c r="G89" s="29">
        <v>0</v>
      </c>
      <c r="H89" s="29"/>
      <c r="I89" s="29">
        <v>0</v>
      </c>
    </row>
    <row r="90" spans="1:12" ht="23.25" customHeight="1">
      <c r="A90" s="1" t="s">
        <v>141</v>
      </c>
      <c r="B90" s="157"/>
      <c r="C90" s="29">
        <v>-129337</v>
      </c>
      <c r="D90" s="29"/>
      <c r="E90" s="29">
        <v>-129337</v>
      </c>
      <c r="F90" s="29"/>
      <c r="G90" s="29">
        <v>0</v>
      </c>
      <c r="H90" s="29"/>
      <c r="I90" s="29">
        <v>0</v>
      </c>
    </row>
    <row r="91" spans="1:12" ht="23.25" customHeight="1">
      <c r="A91" s="1" t="s">
        <v>15</v>
      </c>
      <c r="B91" s="157"/>
      <c r="C91" s="8"/>
      <c r="D91" s="8"/>
      <c r="E91" s="132"/>
      <c r="F91" s="8"/>
      <c r="G91" s="133"/>
      <c r="H91" s="8"/>
      <c r="I91" s="133"/>
    </row>
    <row r="92" spans="1:12" ht="23.25" customHeight="1">
      <c r="A92" s="1" t="s">
        <v>71</v>
      </c>
      <c r="B92" s="157"/>
      <c r="C92" s="8"/>
      <c r="D92" s="8"/>
      <c r="E92" s="129"/>
      <c r="F92" s="8"/>
      <c r="G92" s="129"/>
      <c r="H92" s="8"/>
      <c r="I92" s="129"/>
    </row>
    <row r="93" spans="1:12" ht="23.25" customHeight="1">
      <c r="A93" s="1" t="s">
        <v>58</v>
      </c>
      <c r="B93" s="157"/>
      <c r="C93" s="29">
        <v>519900</v>
      </c>
      <c r="D93" s="29"/>
      <c r="E93" s="29">
        <v>519900</v>
      </c>
      <c r="F93" s="29"/>
      <c r="G93" s="29">
        <f>383000</f>
        <v>383000</v>
      </c>
      <c r="H93" s="29"/>
      <c r="I93" s="29">
        <f>383000</f>
        <v>383000</v>
      </c>
    </row>
    <row r="94" spans="1:12" ht="23.25" customHeight="1">
      <c r="A94" s="32" t="s">
        <v>44</v>
      </c>
      <c r="B94" s="157"/>
      <c r="C94" s="29">
        <v>5142782</v>
      </c>
      <c r="D94" s="29"/>
      <c r="E94" s="29">
        <v>4864947</v>
      </c>
      <c r="F94" s="29"/>
      <c r="G94" s="29">
        <v>3395991</v>
      </c>
      <c r="H94" s="29"/>
      <c r="I94" s="29">
        <v>3190900</v>
      </c>
      <c r="K94" s="9"/>
      <c r="L94" s="101"/>
    </row>
    <row r="95" spans="1:12" ht="23.25" customHeight="1">
      <c r="A95" s="1" t="s">
        <v>59</v>
      </c>
      <c r="B95" s="157"/>
      <c r="C95" s="95">
        <v>-24895</v>
      </c>
      <c r="D95" s="29"/>
      <c r="E95" s="95">
        <v>-24927</v>
      </c>
      <c r="F95" s="29"/>
      <c r="G95" s="95">
        <v>48</v>
      </c>
      <c r="H95" s="29"/>
      <c r="I95" s="95">
        <v>0</v>
      </c>
      <c r="K95" s="112"/>
    </row>
    <row r="96" spans="1:12" ht="23.25" customHeight="1">
      <c r="A96" s="4" t="s">
        <v>76</v>
      </c>
      <c r="B96" s="157"/>
      <c r="C96" s="11">
        <f>SUM(C86:C95)</f>
        <v>13117416</v>
      </c>
      <c r="D96" s="11"/>
      <c r="E96" s="134">
        <f>SUM(E86:E95)</f>
        <v>12839549</v>
      </c>
      <c r="F96" s="11"/>
      <c r="G96" s="11">
        <f>SUM(G86:G95)</f>
        <v>11811190</v>
      </c>
      <c r="H96" s="11"/>
      <c r="I96" s="134">
        <f>SUM(I86:I95)</f>
        <v>11606051</v>
      </c>
      <c r="L96" s="27"/>
    </row>
    <row r="97" spans="1:12" ht="23.25" customHeight="1">
      <c r="A97" s="1" t="s">
        <v>60</v>
      </c>
      <c r="B97" s="157"/>
      <c r="C97" s="29">
        <v>893425</v>
      </c>
      <c r="D97" s="29"/>
      <c r="E97" s="29">
        <v>874375</v>
      </c>
      <c r="F97" s="29"/>
      <c r="G97" s="29">
        <v>0</v>
      </c>
      <c r="H97" s="29"/>
      <c r="I97" s="29">
        <v>0</v>
      </c>
      <c r="K97" s="112"/>
      <c r="L97" s="112"/>
    </row>
    <row r="98" spans="1:12" ht="23.25" customHeight="1">
      <c r="A98" s="4" t="s">
        <v>16</v>
      </c>
      <c r="B98" s="157"/>
      <c r="C98" s="12">
        <f>SUM(C96:C97)</f>
        <v>14010841</v>
      </c>
      <c r="D98" s="8"/>
      <c r="E98" s="142">
        <f>SUM(E96:E97)</f>
        <v>13713924</v>
      </c>
      <c r="F98" s="8"/>
      <c r="G98" s="12">
        <f>SUM(G96:G97)</f>
        <v>11811190</v>
      </c>
      <c r="H98" s="8"/>
      <c r="I98" s="143">
        <f>SUM(I96:I97)</f>
        <v>11606051</v>
      </c>
    </row>
    <row r="99" spans="1:12" ht="23.25" customHeight="1">
      <c r="A99" s="4"/>
      <c r="B99" s="157"/>
      <c r="C99" s="11"/>
      <c r="D99" s="8"/>
      <c r="E99" s="134"/>
      <c r="F99" s="8"/>
      <c r="G99" s="11"/>
      <c r="H99" s="8"/>
      <c r="I99" s="135"/>
    </row>
    <row r="100" spans="1:12" ht="23.25" customHeight="1" thickBot="1">
      <c r="A100" s="4" t="s">
        <v>17</v>
      </c>
      <c r="B100" s="157"/>
      <c r="C100" s="13">
        <f>+C71+C98</f>
        <v>28842124</v>
      </c>
      <c r="D100" s="10"/>
      <c r="E100" s="136">
        <f>E98+E71</f>
        <v>29692498</v>
      </c>
      <c r="F100" s="10"/>
      <c r="G100" s="13">
        <f>+G71+G98</f>
        <v>24589875</v>
      </c>
      <c r="H100" s="10"/>
      <c r="I100" s="137">
        <f>I98+I71</f>
        <v>25518044</v>
      </c>
    </row>
    <row r="101" spans="1:12" ht="23.25" customHeight="1" thickTop="1">
      <c r="A101" s="4"/>
      <c r="B101" s="157"/>
      <c r="C101" s="49"/>
      <c r="D101" s="33"/>
      <c r="E101" s="49"/>
      <c r="F101" s="33"/>
      <c r="G101" s="34"/>
      <c r="H101" s="8"/>
      <c r="I101" s="34"/>
    </row>
    <row r="102" spans="1:12" ht="23.25" customHeight="1">
      <c r="C102" s="27">
        <f>C34-C100</f>
        <v>0</v>
      </c>
      <c r="E102" s="27">
        <f>E34-E100</f>
        <v>0</v>
      </c>
      <c r="G102" s="27">
        <f>G34-G100</f>
        <v>0</v>
      </c>
      <c r="I102" s="27">
        <f>I34-I100</f>
        <v>0</v>
      </c>
    </row>
    <row r="103" spans="1:12" ht="23.25" customHeight="1">
      <c r="C103" s="27"/>
      <c r="E103" s="27"/>
    </row>
  </sheetData>
  <mergeCells count="9">
    <mergeCell ref="C80:I80"/>
    <mergeCell ref="G4:I4"/>
    <mergeCell ref="G39:I39"/>
    <mergeCell ref="C43:I43"/>
    <mergeCell ref="G76:I76"/>
    <mergeCell ref="C8:I8"/>
    <mergeCell ref="C4:E4"/>
    <mergeCell ref="C39:E39"/>
    <mergeCell ref="C76:E76"/>
  </mergeCells>
  <phoneticPr fontId="4" type="noConversion"/>
  <pageMargins left="0.8" right="0.8" top="0.48" bottom="0.5" header="0.5" footer="0.5"/>
  <pageSetup paperSize="9" scale="85" firstPageNumber="3" orientation="portrait" useFirstPageNumber="1" r:id="rId1"/>
  <headerFooter alignWithMargins="0">
    <oddFooter xml:space="preserve">&amp;L&amp;15
  หมายเหตุประกอบงบการเงินเป็นส่วนหนึ่งของงบการเงินนี้&amp;16
&amp;C&amp;15
&amp;P&amp;R&amp;"Angsana New,Italic"&amp;15
</oddFooter>
  </headerFooter>
  <rowBreaks count="2" manualBreakCount="2">
    <brk id="35" max="16383" man="1"/>
    <brk id="7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9610C-A17F-43F4-BF66-8FD4779A847B}">
  <sheetPr>
    <tabColor rgb="FF00FFFF"/>
  </sheetPr>
  <dimension ref="A1:W65"/>
  <sheetViews>
    <sheetView view="pageBreakPreview" topLeftCell="A15" zoomScaleNormal="90" zoomScaleSheetLayoutView="100" workbookViewId="0">
      <pane xSplit="1" topLeftCell="B1" activePane="topRight" state="frozen"/>
      <selection activeCell="B15" sqref="B15"/>
      <selection pane="topRight" activeCell="B15" sqref="B15"/>
    </sheetView>
  </sheetViews>
  <sheetFormatPr defaultColWidth="9.28515625" defaultRowHeight="23.25" customHeight="1"/>
  <cols>
    <col min="1" max="1" width="45.5703125" style="1" customWidth="1"/>
    <col min="2" max="2" width="7.28515625" style="53" customWidth="1"/>
    <col min="3" max="3" width="12.7109375" style="3" customWidth="1"/>
    <col min="4" max="4" width="0.7109375" style="3" customWidth="1"/>
    <col min="5" max="5" width="12.7109375" style="3" customWidth="1"/>
    <col min="6" max="6" width="0.7109375" style="3" customWidth="1"/>
    <col min="7" max="7" width="12.7109375" style="3" customWidth="1"/>
    <col min="8" max="8" width="0.7109375" style="3" customWidth="1"/>
    <col min="9" max="9" width="12.7109375" style="3" customWidth="1"/>
    <col min="10" max="10" width="12.7109375" style="35" hidden="1" customWidth="1"/>
    <col min="11" max="17" width="0" style="3" hidden="1" customWidth="1"/>
    <col min="18" max="18" width="9.7109375" style="3" bestFit="1" customWidth="1"/>
    <col min="19" max="19" width="10.28515625" style="3" bestFit="1" customWidth="1"/>
    <col min="20" max="21" width="9.28515625" style="3"/>
    <col min="22" max="22" width="4.85546875" style="3" bestFit="1" customWidth="1"/>
    <col min="23" max="23" width="12.28515625" style="3" bestFit="1" customWidth="1"/>
    <col min="24" max="16384" width="9.28515625" style="3"/>
  </cols>
  <sheetData>
    <row r="1" spans="1:20" ht="23.25" customHeight="1">
      <c r="A1" s="36" t="s">
        <v>103</v>
      </c>
    </row>
    <row r="2" spans="1:20" ht="23.25" customHeight="1">
      <c r="A2" s="36" t="s">
        <v>87</v>
      </c>
      <c r="B2" s="54"/>
      <c r="C2" s="19"/>
      <c r="D2" s="148"/>
      <c r="E2" s="19"/>
    </row>
    <row r="3" spans="1:20" ht="15" customHeight="1"/>
    <row r="4" spans="1:20" ht="23.25" customHeight="1">
      <c r="C4" s="161" t="s">
        <v>32</v>
      </c>
      <c r="D4" s="161"/>
      <c r="E4" s="161"/>
      <c r="F4" s="148"/>
      <c r="G4" s="161" t="s">
        <v>46</v>
      </c>
      <c r="H4" s="161"/>
      <c r="I4" s="161"/>
    </row>
    <row r="5" spans="1:20" ht="23.25" customHeight="1">
      <c r="C5" s="163" t="s">
        <v>88</v>
      </c>
      <c r="D5" s="163"/>
      <c r="E5" s="163"/>
      <c r="F5" s="149"/>
      <c r="G5" s="163" t="s">
        <v>88</v>
      </c>
      <c r="H5" s="163"/>
      <c r="I5" s="163"/>
    </row>
    <row r="6" spans="1:20" ht="23.25" customHeight="1">
      <c r="C6" s="163" t="s">
        <v>89</v>
      </c>
      <c r="D6" s="163"/>
      <c r="E6" s="163"/>
      <c r="F6" s="149"/>
      <c r="G6" s="163" t="s">
        <v>89</v>
      </c>
      <c r="H6" s="163"/>
      <c r="I6" s="163"/>
    </row>
    <row r="7" spans="1:20" ht="23.25" customHeight="1">
      <c r="A7" s="4"/>
      <c r="B7" s="55" t="s">
        <v>1</v>
      </c>
      <c r="C7" s="149">
        <v>2563</v>
      </c>
      <c r="D7" s="149"/>
      <c r="E7" s="149">
        <v>2562</v>
      </c>
      <c r="F7" s="149"/>
      <c r="G7" s="149">
        <v>2563</v>
      </c>
      <c r="H7" s="149"/>
      <c r="I7" s="149">
        <v>2562</v>
      </c>
    </row>
    <row r="8" spans="1:20" ht="23.25" customHeight="1">
      <c r="B8" s="55"/>
      <c r="C8" s="162" t="s">
        <v>90</v>
      </c>
      <c r="D8" s="162"/>
      <c r="E8" s="162"/>
      <c r="F8" s="162"/>
      <c r="G8" s="162"/>
      <c r="H8" s="162"/>
      <c r="I8" s="162"/>
    </row>
    <row r="9" spans="1:20" ht="23.25" customHeight="1">
      <c r="A9" s="7" t="s">
        <v>24</v>
      </c>
      <c r="B9" s="53">
        <v>4</v>
      </c>
      <c r="C9" s="5"/>
      <c r="D9" s="5"/>
      <c r="E9" s="5"/>
      <c r="F9" s="5"/>
      <c r="G9" s="5"/>
      <c r="H9" s="5"/>
      <c r="I9" s="5"/>
      <c r="J9" s="35" t="s">
        <v>149</v>
      </c>
    </row>
    <row r="10" spans="1:20" ht="23.25" customHeight="1">
      <c r="A10" s="1" t="s">
        <v>105</v>
      </c>
      <c r="C10" s="29">
        <v>375950</v>
      </c>
      <c r="D10" s="29"/>
      <c r="E10" s="29">
        <v>300373</v>
      </c>
      <c r="F10" s="29"/>
      <c r="G10" s="29">
        <v>92908</v>
      </c>
      <c r="H10" s="29"/>
      <c r="I10" s="29">
        <v>74278</v>
      </c>
      <c r="J10" s="35">
        <v>298530</v>
      </c>
      <c r="K10" s="45">
        <f>G10-I10</f>
        <v>18630</v>
      </c>
      <c r="S10" s="35"/>
      <c r="T10" s="35"/>
    </row>
    <row r="11" spans="1:20" ht="23.25" customHeight="1">
      <c r="A11" s="1" t="s">
        <v>25</v>
      </c>
      <c r="C11" s="29">
        <v>76085</v>
      </c>
      <c r="D11" s="29"/>
      <c r="E11" s="29">
        <f>86443+36</f>
        <v>86479</v>
      </c>
      <c r="F11" s="29"/>
      <c r="G11" s="29">
        <v>0</v>
      </c>
      <c r="H11" s="29"/>
      <c r="I11" s="29">
        <v>0</v>
      </c>
      <c r="J11" s="35">
        <v>235111</v>
      </c>
      <c r="K11" s="45">
        <f t="shared" ref="K11" si="0">G11-I11</f>
        <v>0</v>
      </c>
      <c r="S11" s="35"/>
      <c r="T11" s="35"/>
    </row>
    <row r="12" spans="1:20" ht="23.25" customHeight="1">
      <c r="A12" s="1" t="s">
        <v>178</v>
      </c>
      <c r="C12" s="29">
        <v>25675</v>
      </c>
      <c r="D12" s="29"/>
      <c r="E12" s="29">
        <v>75232</v>
      </c>
      <c r="F12" s="29"/>
      <c r="G12" s="29">
        <v>54540</v>
      </c>
      <c r="H12" s="29"/>
      <c r="I12" s="29">
        <v>80913</v>
      </c>
      <c r="J12" s="35">
        <v>320169</v>
      </c>
      <c r="K12" s="45">
        <f>G12-I12</f>
        <v>-26373</v>
      </c>
      <c r="S12" s="35"/>
      <c r="T12" s="35"/>
    </row>
    <row r="13" spans="1:20" ht="23.25" customHeight="1">
      <c r="A13" s="1" t="s">
        <v>153</v>
      </c>
      <c r="C13" s="29"/>
      <c r="D13" s="29"/>
      <c r="E13" s="29"/>
      <c r="F13" s="29"/>
      <c r="G13" s="29"/>
      <c r="H13" s="29"/>
      <c r="I13" s="29"/>
      <c r="K13" s="45"/>
      <c r="S13" s="35"/>
      <c r="T13" s="35"/>
    </row>
    <row r="14" spans="1:20" ht="23.25" customHeight="1">
      <c r="A14" s="3" t="s">
        <v>167</v>
      </c>
      <c r="C14" s="29">
        <v>0</v>
      </c>
      <c r="D14" s="29"/>
      <c r="E14" s="29">
        <f>186+246</f>
        <v>432</v>
      </c>
      <c r="F14" s="29"/>
      <c r="G14" s="29">
        <v>0</v>
      </c>
      <c r="H14" s="29"/>
      <c r="I14" s="29">
        <v>0</v>
      </c>
      <c r="K14" s="45"/>
      <c r="S14" s="35"/>
      <c r="T14" s="35"/>
    </row>
    <row r="15" spans="1:20" ht="23.25" customHeight="1">
      <c r="A15" s="3" t="s">
        <v>163</v>
      </c>
      <c r="C15" s="29">
        <v>0</v>
      </c>
      <c r="D15" s="29"/>
      <c r="E15" s="29">
        <v>0</v>
      </c>
      <c r="F15" s="29"/>
      <c r="G15" s="29">
        <v>308242</v>
      </c>
      <c r="H15" s="29"/>
      <c r="I15" s="29">
        <v>12909</v>
      </c>
      <c r="K15" s="45"/>
      <c r="S15" s="35"/>
      <c r="T15" s="35"/>
    </row>
    <row r="16" spans="1:20" ht="23.25" customHeight="1">
      <c r="A16" s="1" t="s">
        <v>26</v>
      </c>
      <c r="C16" s="95">
        <v>1197</v>
      </c>
      <c r="D16" s="29"/>
      <c r="E16" s="95">
        <v>31514</v>
      </c>
      <c r="F16" s="29"/>
      <c r="G16" s="95">
        <v>524</v>
      </c>
      <c r="H16" s="29"/>
      <c r="I16" s="95">
        <f>15131-I15</f>
        <v>2222</v>
      </c>
      <c r="J16" s="35">
        <v>23181</v>
      </c>
      <c r="K16" s="45">
        <f>G16-I16</f>
        <v>-1698</v>
      </c>
      <c r="S16" s="35"/>
      <c r="T16" s="35"/>
    </row>
    <row r="17" spans="1:23" ht="23.25" customHeight="1">
      <c r="A17" s="4" t="s">
        <v>27</v>
      </c>
      <c r="C17" s="105">
        <f>SUM(C10:C16)</f>
        <v>478907</v>
      </c>
      <c r="D17" s="14"/>
      <c r="E17" s="105">
        <f>SUM(E10:E16)</f>
        <v>494030</v>
      </c>
      <c r="F17" s="14"/>
      <c r="G17" s="30">
        <f>SUM(G10:G16)</f>
        <v>456214</v>
      </c>
      <c r="H17" s="14"/>
      <c r="I17" s="30">
        <f>SUM(I10:I16)</f>
        <v>170322</v>
      </c>
      <c r="J17" s="30">
        <f>SUM(J10:J16)</f>
        <v>876991</v>
      </c>
      <c r="R17" s="45"/>
    </row>
    <row r="18" spans="1:23" ht="23.25" customHeight="1">
      <c r="C18" s="8"/>
      <c r="D18" s="8"/>
      <c r="E18" s="8"/>
      <c r="F18" s="8"/>
      <c r="G18" s="8"/>
      <c r="H18" s="8"/>
      <c r="I18" s="8"/>
    </row>
    <row r="19" spans="1:23" ht="23.25" customHeight="1">
      <c r="A19" s="7" t="s">
        <v>28</v>
      </c>
      <c r="B19" s="53">
        <v>4</v>
      </c>
      <c r="C19" s="56"/>
      <c r="D19" s="8"/>
      <c r="E19" s="56"/>
      <c r="F19" s="8"/>
      <c r="G19" s="56"/>
      <c r="H19" s="8"/>
      <c r="I19" s="56"/>
    </row>
    <row r="20" spans="1:23" ht="23.25" customHeight="1">
      <c r="A20" s="1" t="s">
        <v>106</v>
      </c>
      <c r="C20" s="29">
        <v>74425</v>
      </c>
      <c r="D20" s="29"/>
      <c r="E20" s="29">
        <v>76311</v>
      </c>
      <c r="F20" s="29"/>
      <c r="G20" s="29">
        <v>13407</v>
      </c>
      <c r="H20" s="29"/>
      <c r="I20" s="29">
        <v>10045</v>
      </c>
      <c r="J20" s="35">
        <v>147683</v>
      </c>
      <c r="K20" s="45">
        <f>G20-I20</f>
        <v>3362</v>
      </c>
      <c r="L20" s="102">
        <f>G20/G10</f>
        <v>0.14430404270891634</v>
      </c>
      <c r="M20" s="101">
        <f>I20/I10</f>
        <v>0.13523519750127899</v>
      </c>
      <c r="O20" s="3">
        <v>5583</v>
      </c>
      <c r="P20" s="45">
        <f>G20-O20</f>
        <v>7824</v>
      </c>
      <c r="S20" s="35"/>
      <c r="T20" s="35"/>
    </row>
    <row r="21" spans="1:23" ht="23.25" customHeight="1">
      <c r="A21" s="1" t="s">
        <v>29</v>
      </c>
      <c r="C21" s="29">
        <v>27058</v>
      </c>
      <c r="D21" s="29"/>
      <c r="E21" s="29">
        <v>24724</v>
      </c>
      <c r="F21" s="29"/>
      <c r="G21" s="29">
        <v>0</v>
      </c>
      <c r="H21" s="29"/>
      <c r="I21" s="29">
        <v>0</v>
      </c>
    </row>
    <row r="22" spans="1:23" ht="23.25" customHeight="1">
      <c r="A22" s="1" t="s">
        <v>154</v>
      </c>
      <c r="C22" s="29"/>
      <c r="D22" s="29"/>
      <c r="E22" s="29"/>
      <c r="F22" s="29"/>
      <c r="G22" s="29"/>
      <c r="H22" s="29"/>
      <c r="I22" s="29"/>
    </row>
    <row r="23" spans="1:23" ht="23.25" customHeight="1">
      <c r="A23" s="3" t="s">
        <v>167</v>
      </c>
      <c r="C23" s="29">
        <v>91266</v>
      </c>
      <c r="D23" s="29"/>
      <c r="E23" s="29">
        <v>0</v>
      </c>
      <c r="F23" s="29"/>
      <c r="G23" s="29">
        <v>93590</v>
      </c>
      <c r="H23" s="29"/>
      <c r="I23" s="29">
        <v>11171</v>
      </c>
    </row>
    <row r="24" spans="1:23" ht="23.25" customHeight="1">
      <c r="A24" s="1" t="s">
        <v>155</v>
      </c>
      <c r="C24" s="29">
        <v>1992</v>
      </c>
      <c r="D24" s="29"/>
      <c r="E24" s="29">
        <v>1344</v>
      </c>
      <c r="F24" s="29"/>
      <c r="G24" s="29">
        <v>356</v>
      </c>
      <c r="H24" s="29"/>
      <c r="I24" s="29">
        <v>13</v>
      </c>
      <c r="J24" s="35">
        <v>6559</v>
      </c>
      <c r="S24" s="103"/>
      <c r="T24" s="103"/>
    </row>
    <row r="25" spans="1:23" ht="23.25" customHeight="1">
      <c r="A25" s="1" t="s">
        <v>50</v>
      </c>
      <c r="C25" s="104">
        <v>67181</v>
      </c>
      <c r="D25" s="10"/>
      <c r="E25" s="104">
        <v>79350</v>
      </c>
      <c r="F25" s="10"/>
      <c r="G25" s="8">
        <v>43947</v>
      </c>
      <c r="H25" s="10"/>
      <c r="I25" s="8">
        <v>48728</v>
      </c>
      <c r="J25" s="35">
        <v>117698</v>
      </c>
      <c r="S25" s="103"/>
      <c r="T25" s="103"/>
    </row>
    <row r="26" spans="1:23" ht="23.25" customHeight="1">
      <c r="A26" s="4" t="s">
        <v>30</v>
      </c>
      <c r="C26" s="118">
        <f>SUM(C20:C25)</f>
        <v>261922</v>
      </c>
      <c r="D26" s="10"/>
      <c r="E26" s="118">
        <f>SUM(E20:E25)</f>
        <v>181729</v>
      </c>
      <c r="F26" s="10"/>
      <c r="G26" s="118">
        <f>SUM(G20:G25)</f>
        <v>151300</v>
      </c>
      <c r="H26" s="10"/>
      <c r="I26" s="118">
        <f>SUM(I20:I25)</f>
        <v>69957</v>
      </c>
      <c r="R26" s="27"/>
      <c r="S26" s="103"/>
      <c r="T26" s="103"/>
    </row>
    <row r="27" spans="1:23" ht="23.25" customHeight="1">
      <c r="C27" s="104"/>
      <c r="D27" s="10"/>
      <c r="E27" s="104"/>
      <c r="F27" s="10"/>
      <c r="G27" s="8"/>
      <c r="H27" s="10"/>
      <c r="I27" s="8"/>
      <c r="R27" s="27"/>
      <c r="S27" s="103"/>
      <c r="T27" s="103"/>
    </row>
    <row r="28" spans="1:23" ht="23.25" customHeight="1">
      <c r="A28" s="4" t="s">
        <v>196</v>
      </c>
      <c r="C28" s="117">
        <f>+C17-C26</f>
        <v>216985</v>
      </c>
      <c r="D28" s="10"/>
      <c r="E28" s="117">
        <f>+E17-E26</f>
        <v>312301</v>
      </c>
      <c r="F28" s="10"/>
      <c r="G28" s="117">
        <f>+G17-G26</f>
        <v>304914</v>
      </c>
      <c r="H28" s="10"/>
      <c r="I28" s="117">
        <f>+I17-I26</f>
        <v>100365</v>
      </c>
      <c r="S28" s="103"/>
      <c r="T28" s="103"/>
    </row>
    <row r="29" spans="1:23" ht="23.25" customHeight="1">
      <c r="A29" s="1" t="s">
        <v>51</v>
      </c>
      <c r="B29" s="53">
        <v>4</v>
      </c>
      <c r="C29" s="29">
        <v>-59425</v>
      </c>
      <c r="D29" s="29"/>
      <c r="E29" s="29">
        <v>-92976</v>
      </c>
      <c r="F29" s="29"/>
      <c r="G29" s="29">
        <v>-48425</v>
      </c>
      <c r="H29" s="29"/>
      <c r="I29" s="29">
        <v>-90018</v>
      </c>
      <c r="J29" s="35">
        <v>362816</v>
      </c>
      <c r="T29" s="35"/>
      <c r="U29" s="45"/>
    </row>
    <row r="30" spans="1:23" ht="23.25" customHeight="1">
      <c r="A30" s="1" t="s">
        <v>197</v>
      </c>
    </row>
    <row r="31" spans="1:23" ht="23.25" customHeight="1">
      <c r="A31" s="121" t="s">
        <v>183</v>
      </c>
      <c r="B31" s="53">
        <v>8</v>
      </c>
      <c r="C31" s="113">
        <v>200778</v>
      </c>
      <c r="D31" s="8"/>
      <c r="E31" s="113">
        <f>-50717+64977</f>
        <v>14260</v>
      </c>
      <c r="F31" s="8"/>
      <c r="G31" s="96">
        <v>0</v>
      </c>
      <c r="H31" s="8"/>
      <c r="I31" s="96">
        <v>0</v>
      </c>
    </row>
    <row r="32" spans="1:23" ht="23.25" customHeight="1">
      <c r="A32" s="4" t="s">
        <v>52</v>
      </c>
      <c r="C32" s="14">
        <f>SUM(C28:C31)</f>
        <v>358338</v>
      </c>
      <c r="D32" s="14"/>
      <c r="E32" s="14">
        <f>SUM(E28:E31)</f>
        <v>233585</v>
      </c>
      <c r="F32" s="14"/>
      <c r="G32" s="14">
        <f>SUM(G28:G31)</f>
        <v>256489</v>
      </c>
      <c r="H32" s="14"/>
      <c r="I32" s="14">
        <f>SUM(I28:I31)</f>
        <v>10347</v>
      </c>
      <c r="J32" s="14" t="e">
        <f>+J17-#REF!+SUM(#REF!)</f>
        <v>#REF!</v>
      </c>
      <c r="T32" s="111"/>
      <c r="U32" s="35"/>
      <c r="W32" s="35"/>
    </row>
    <row r="33" spans="1:23" ht="23.25" customHeight="1">
      <c r="A33" s="1" t="s">
        <v>209</v>
      </c>
      <c r="B33" s="53">
        <v>14</v>
      </c>
      <c r="C33" s="29">
        <v>-61469</v>
      </c>
      <c r="D33" s="29"/>
      <c r="E33" s="29">
        <f>-43105-2509</f>
        <v>-45614</v>
      </c>
      <c r="F33" s="29"/>
      <c r="G33" s="29">
        <v>-51398</v>
      </c>
      <c r="H33" s="29"/>
      <c r="I33" s="29">
        <f>-522-1716</f>
        <v>-2238</v>
      </c>
      <c r="J33" s="35">
        <v>-69758</v>
      </c>
      <c r="R33" s="58"/>
      <c r="S33" s="58"/>
      <c r="T33" s="115"/>
      <c r="U33" s="58"/>
      <c r="W33" s="35"/>
    </row>
    <row r="34" spans="1:23" ht="23.1" customHeight="1" thickBot="1">
      <c r="A34" s="4" t="s">
        <v>91</v>
      </c>
      <c r="B34" s="57"/>
      <c r="C34" s="120">
        <f>SUM(C32:C33)</f>
        <v>296869</v>
      </c>
      <c r="D34" s="11"/>
      <c r="E34" s="120">
        <f>SUM(E32:E33)</f>
        <v>187971</v>
      </c>
      <c r="F34" s="11"/>
      <c r="G34" s="28">
        <f>SUM(G32:G33)</f>
        <v>205091</v>
      </c>
      <c r="H34" s="11"/>
      <c r="I34" s="28">
        <f>SUM(I32:I33)</f>
        <v>8109</v>
      </c>
      <c r="J34" s="28" t="e">
        <f>SUM(J32:J33)</f>
        <v>#REF!</v>
      </c>
      <c r="T34" s="111"/>
      <c r="U34" s="35"/>
      <c r="W34" s="35"/>
    </row>
    <row r="35" spans="1:23" ht="23.25" customHeight="1" thickTop="1">
      <c r="A35" s="4"/>
      <c r="C35" s="92"/>
      <c r="D35" s="8"/>
      <c r="E35" s="92"/>
      <c r="F35" s="8"/>
      <c r="G35" s="92"/>
      <c r="H35" s="8"/>
      <c r="I35" s="92"/>
    </row>
    <row r="36" spans="1:23" ht="23.25" customHeight="1">
      <c r="A36" s="4" t="s">
        <v>103</v>
      </c>
      <c r="C36" s="58"/>
      <c r="E36" s="58"/>
      <c r="F36" s="58"/>
      <c r="G36" s="58"/>
      <c r="H36" s="58"/>
      <c r="I36" s="58"/>
    </row>
    <row r="37" spans="1:23" ht="23.25" customHeight="1">
      <c r="A37" s="4" t="s">
        <v>87</v>
      </c>
      <c r="B37" s="54"/>
      <c r="C37" s="19"/>
      <c r="D37" s="148"/>
      <c r="E37" s="19"/>
    </row>
    <row r="38" spans="1:23" ht="13.5" customHeight="1"/>
    <row r="39" spans="1:23" ht="23.25" customHeight="1">
      <c r="C39" s="161" t="s">
        <v>32</v>
      </c>
      <c r="D39" s="161"/>
      <c r="E39" s="161"/>
      <c r="F39" s="148"/>
      <c r="G39" s="161" t="s">
        <v>46</v>
      </c>
      <c r="H39" s="161"/>
      <c r="I39" s="161"/>
    </row>
    <row r="40" spans="1:23" ht="23.25" customHeight="1">
      <c r="C40" s="163" t="s">
        <v>88</v>
      </c>
      <c r="D40" s="163"/>
      <c r="E40" s="163"/>
      <c r="F40" s="149"/>
      <c r="G40" s="163" t="s">
        <v>88</v>
      </c>
      <c r="H40" s="163"/>
      <c r="I40" s="163"/>
    </row>
    <row r="41" spans="1:23" ht="23.25" customHeight="1">
      <c r="C41" s="163" t="s">
        <v>89</v>
      </c>
      <c r="D41" s="163"/>
      <c r="E41" s="163"/>
      <c r="F41" s="149"/>
      <c r="G41" s="163" t="s">
        <v>89</v>
      </c>
      <c r="H41" s="163"/>
      <c r="I41" s="163"/>
    </row>
    <row r="42" spans="1:23" ht="23.25" customHeight="1">
      <c r="A42" s="4"/>
      <c r="B42" s="55" t="s">
        <v>1</v>
      </c>
      <c r="C42" s="149">
        <v>2563</v>
      </c>
      <c r="D42" s="149"/>
      <c r="E42" s="149">
        <v>2562</v>
      </c>
      <c r="F42" s="149"/>
      <c r="G42" s="149">
        <v>2563</v>
      </c>
      <c r="H42" s="149"/>
      <c r="I42" s="149">
        <v>2562</v>
      </c>
    </row>
    <row r="43" spans="1:23" ht="23.25" customHeight="1">
      <c r="B43" s="55"/>
      <c r="C43" s="162" t="s">
        <v>90</v>
      </c>
      <c r="D43" s="162"/>
      <c r="E43" s="162"/>
      <c r="F43" s="162"/>
      <c r="G43" s="162"/>
      <c r="H43" s="162"/>
      <c r="I43" s="162"/>
    </row>
    <row r="44" spans="1:23" ht="23.25" customHeight="1">
      <c r="A44" s="4" t="s">
        <v>91</v>
      </c>
      <c r="B44" s="55"/>
      <c r="C44" s="125">
        <f>C34</f>
        <v>296869</v>
      </c>
      <c r="D44" s="16"/>
      <c r="E44" s="125">
        <f>E34</f>
        <v>187971</v>
      </c>
      <c r="F44" s="16"/>
      <c r="G44" s="125">
        <f>G34</f>
        <v>205091</v>
      </c>
      <c r="H44" s="16"/>
      <c r="I44" s="125">
        <f>I34</f>
        <v>8109</v>
      </c>
    </row>
    <row r="45" spans="1:23" ht="21.75">
      <c r="A45" s="4" t="s">
        <v>152</v>
      </c>
      <c r="C45" s="109"/>
      <c r="D45" s="24"/>
      <c r="E45" s="109"/>
      <c r="F45" s="24"/>
      <c r="G45" s="25"/>
      <c r="H45" s="24"/>
      <c r="I45" s="25"/>
    </row>
    <row r="46" spans="1:23" ht="21.75">
      <c r="A46" s="7" t="s">
        <v>203</v>
      </c>
      <c r="C46" s="109"/>
      <c r="D46" s="24"/>
      <c r="E46" s="109"/>
      <c r="F46" s="24"/>
      <c r="G46" s="25"/>
      <c r="H46" s="24"/>
      <c r="I46" s="25"/>
    </row>
    <row r="47" spans="1:23" ht="21.75">
      <c r="A47" s="1" t="s">
        <v>210</v>
      </c>
      <c r="C47" s="29"/>
      <c r="D47" s="29"/>
      <c r="E47" s="29"/>
      <c r="F47" s="29"/>
      <c r="G47" s="29"/>
      <c r="H47" s="29"/>
      <c r="I47" s="29"/>
    </row>
    <row r="48" spans="1:23" ht="21.75">
      <c r="A48" s="121" t="s">
        <v>204</v>
      </c>
      <c r="C48" s="29">
        <v>48</v>
      </c>
      <c r="D48" s="29"/>
      <c r="E48" s="29">
        <v>0</v>
      </c>
      <c r="F48" s="29"/>
      <c r="G48" s="29">
        <v>48</v>
      </c>
      <c r="H48" s="29"/>
      <c r="I48" s="29">
        <v>0</v>
      </c>
    </row>
    <row r="49" spans="1:20" ht="21.75">
      <c r="A49" s="4" t="s">
        <v>198</v>
      </c>
      <c r="C49" s="124">
        <v>48</v>
      </c>
      <c r="D49" s="122"/>
      <c r="E49" s="118">
        <f>SUM(E47:E47)</f>
        <v>0</v>
      </c>
      <c r="F49" s="122"/>
      <c r="G49" s="124">
        <v>48</v>
      </c>
      <c r="H49" s="122"/>
      <c r="I49" s="118">
        <f>SUM(I47:I47)</f>
        <v>0</v>
      </c>
      <c r="S49" s="101"/>
    </row>
    <row r="50" spans="1:20" ht="21.75">
      <c r="A50" s="4"/>
      <c r="C50" s="123"/>
      <c r="D50" s="123"/>
      <c r="E50" s="123"/>
      <c r="F50" s="123"/>
      <c r="G50" s="123"/>
      <c r="H50" s="123"/>
      <c r="I50" s="123"/>
    </row>
    <row r="51" spans="1:20" ht="22.5" thickBot="1">
      <c r="A51" s="4" t="s">
        <v>199</v>
      </c>
      <c r="C51" s="144">
        <f>+C44+C49</f>
        <v>296917</v>
      </c>
      <c r="D51" s="144"/>
      <c r="E51" s="138">
        <f>+E44+E49</f>
        <v>187971</v>
      </c>
      <c r="F51" s="144"/>
      <c r="G51" s="144">
        <f>+G44+G49</f>
        <v>205139</v>
      </c>
      <c r="H51" s="144"/>
      <c r="I51" s="138">
        <f>+I44+I49</f>
        <v>8109</v>
      </c>
    </row>
    <row r="52" spans="1:20" ht="22.5" thickTop="1">
      <c r="A52" s="4"/>
      <c r="C52" s="145"/>
      <c r="D52" s="24"/>
      <c r="E52" s="109"/>
      <c r="F52" s="24"/>
      <c r="G52" s="146"/>
      <c r="H52" s="24"/>
      <c r="I52" s="25"/>
    </row>
    <row r="53" spans="1:20" ht="23.25" customHeight="1">
      <c r="A53" s="4" t="s">
        <v>92</v>
      </c>
      <c r="C53" s="108"/>
      <c r="D53" s="2"/>
      <c r="E53" s="108"/>
      <c r="F53" s="2"/>
      <c r="G53" s="2"/>
      <c r="H53" s="2"/>
      <c r="I53" s="2"/>
    </row>
    <row r="54" spans="1:20" ht="23.25" customHeight="1">
      <c r="A54" s="1" t="s">
        <v>72</v>
      </c>
      <c r="C54" s="29">
        <f>C56-C55</f>
        <v>277835</v>
      </c>
      <c r="D54" s="29"/>
      <c r="E54" s="29">
        <f>E56-E55</f>
        <v>166723</v>
      </c>
      <c r="F54" s="29"/>
      <c r="G54" s="29">
        <f>G56-G55</f>
        <v>205091</v>
      </c>
      <c r="H54" s="29"/>
      <c r="I54" s="29">
        <f>I56-I55</f>
        <v>8109</v>
      </c>
      <c r="S54" s="9"/>
      <c r="T54" s="101"/>
    </row>
    <row r="55" spans="1:20" ht="23.25" customHeight="1">
      <c r="A55" s="1" t="s">
        <v>73</v>
      </c>
      <c r="C55" s="29">
        <v>19034</v>
      </c>
      <c r="D55" s="29"/>
      <c r="E55" s="29">
        <v>21248</v>
      </c>
      <c r="F55" s="29"/>
      <c r="G55" s="29">
        <v>0</v>
      </c>
      <c r="H55" s="29"/>
      <c r="I55" s="29">
        <v>0</v>
      </c>
      <c r="S55" s="58"/>
      <c r="T55" s="101"/>
    </row>
    <row r="56" spans="1:20" ht="23.25" customHeight="1" thickBot="1">
      <c r="A56" s="4"/>
      <c r="C56" s="106">
        <f>C34</f>
        <v>296869</v>
      </c>
      <c r="D56" s="24"/>
      <c r="E56" s="106">
        <f>E34</f>
        <v>187971</v>
      </c>
      <c r="F56" s="24"/>
      <c r="G56" s="106">
        <f>G34</f>
        <v>205091</v>
      </c>
      <c r="H56" s="24"/>
      <c r="I56" s="106">
        <f>I34</f>
        <v>8109</v>
      </c>
    </row>
    <row r="57" spans="1:20" ht="13.5" customHeight="1" thickTop="1">
      <c r="A57" s="4"/>
      <c r="C57" s="109"/>
      <c r="D57" s="24"/>
      <c r="E57" s="109"/>
      <c r="F57" s="24"/>
      <c r="G57" s="25"/>
      <c r="H57" s="24"/>
      <c r="I57" s="25"/>
    </row>
    <row r="58" spans="1:20" ht="23.25" customHeight="1">
      <c r="A58" s="4" t="s">
        <v>200</v>
      </c>
      <c r="C58" s="126"/>
      <c r="D58" s="2"/>
      <c r="E58" s="126"/>
      <c r="F58" s="2"/>
      <c r="G58" s="2"/>
      <c r="H58" s="2"/>
      <c r="I58" s="2"/>
    </row>
    <row r="59" spans="1:20" ht="23.25" customHeight="1">
      <c r="A59" s="1" t="s">
        <v>72</v>
      </c>
      <c r="C59" s="29">
        <f>C61-C60</f>
        <v>277867</v>
      </c>
      <c r="D59" s="29"/>
      <c r="E59" s="29">
        <f>E61-E60</f>
        <v>166723</v>
      </c>
      <c r="F59" s="29"/>
      <c r="G59" s="29">
        <f>G61-G60</f>
        <v>205139</v>
      </c>
      <c r="H59" s="29"/>
      <c r="I59" s="29">
        <f>I61-I60</f>
        <v>8109</v>
      </c>
      <c r="S59" s="9"/>
      <c r="T59" s="101"/>
    </row>
    <row r="60" spans="1:20" ht="23.25" customHeight="1">
      <c r="A60" s="1" t="s">
        <v>73</v>
      </c>
      <c r="C60" s="29">
        <f>+C55+16</f>
        <v>19050</v>
      </c>
      <c r="D60" s="29"/>
      <c r="E60" s="29">
        <f>+E55</f>
        <v>21248</v>
      </c>
      <c r="F60" s="29"/>
      <c r="G60" s="29">
        <v>0</v>
      </c>
      <c r="H60" s="29"/>
      <c r="I60" s="29">
        <v>0</v>
      </c>
      <c r="S60" s="9"/>
      <c r="T60" s="101"/>
    </row>
    <row r="61" spans="1:20" ht="23.25" customHeight="1" thickBot="1">
      <c r="A61" s="4"/>
      <c r="C61" s="106">
        <f>C51</f>
        <v>296917</v>
      </c>
      <c r="D61" s="24"/>
      <c r="E61" s="106">
        <f>E51</f>
        <v>187971</v>
      </c>
      <c r="F61" s="24"/>
      <c r="G61" s="106">
        <f>G51</f>
        <v>205139</v>
      </c>
      <c r="H61" s="24"/>
      <c r="I61" s="106">
        <f>I51</f>
        <v>8109</v>
      </c>
    </row>
    <row r="62" spans="1:20" ht="13.5" customHeight="1" thickTop="1">
      <c r="A62" s="4"/>
      <c r="C62" s="109"/>
      <c r="D62" s="24"/>
      <c r="E62" s="109"/>
      <c r="F62" s="24"/>
      <c r="G62" s="25"/>
      <c r="H62" s="24"/>
      <c r="I62" s="25"/>
    </row>
    <row r="63" spans="1:20" ht="23.25" customHeight="1">
      <c r="A63" s="4" t="s">
        <v>93</v>
      </c>
      <c r="C63" s="107"/>
      <c r="E63" s="107"/>
    </row>
    <row r="64" spans="1:20" ht="23.25" customHeight="1" thickBot="1">
      <c r="A64" s="1" t="s">
        <v>84</v>
      </c>
      <c r="B64" s="53">
        <v>15</v>
      </c>
      <c r="C64" s="110">
        <f>C54/BS!C86</f>
        <v>4.2744964099061054E-2</v>
      </c>
      <c r="D64" s="59"/>
      <c r="E64" s="110">
        <v>2.5999999999999999E-2</v>
      </c>
      <c r="F64" s="59"/>
      <c r="G64" s="110">
        <f>G54/BS!G86</f>
        <v>3.1553286778269587E-2</v>
      </c>
      <c r="H64" s="59"/>
      <c r="I64" s="97">
        <f>I56/BS!I86</f>
        <v>1.2475710903208238E-3</v>
      </c>
    </row>
    <row r="65" spans="2:10" s="1" customFormat="1" ht="23.25" customHeight="1" thickTop="1">
      <c r="B65" s="53"/>
      <c r="C65" s="3"/>
      <c r="D65" s="3"/>
      <c r="E65" s="3"/>
      <c r="F65" s="3"/>
      <c r="G65" s="3"/>
      <c r="H65" s="3"/>
      <c r="I65" s="3"/>
      <c r="J65" s="35"/>
    </row>
  </sheetData>
  <mergeCells count="14">
    <mergeCell ref="C4:E4"/>
    <mergeCell ref="G4:I4"/>
    <mergeCell ref="C5:E5"/>
    <mergeCell ref="G5:I5"/>
    <mergeCell ref="C6:E6"/>
    <mergeCell ref="G6:I6"/>
    <mergeCell ref="C43:I43"/>
    <mergeCell ref="C8:I8"/>
    <mergeCell ref="C39:E39"/>
    <mergeCell ref="G39:I39"/>
    <mergeCell ref="C40:E40"/>
    <mergeCell ref="G40:I40"/>
    <mergeCell ref="C41:E41"/>
    <mergeCell ref="G41:I41"/>
  </mergeCells>
  <pageMargins left="0.8" right="0.8" top="0.48" bottom="0.5" header="0.5" footer="0.5"/>
  <pageSetup paperSize="9" scale="85" firstPageNumber="6" orientation="portrait" useFirstPageNumber="1" r:id="rId1"/>
  <headerFooter alignWithMargins="0">
    <oddFooter xml:space="preserve">&amp;L&amp;15
  หมายเหตุประกอบงบการเงินเป็นส่วนหนึ่งของงบการเงินนี้&amp;16
&amp;C&amp;15
&amp;P&amp;R&amp;"Angsana New,Italic"&amp;15
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FF"/>
  </sheetPr>
  <dimension ref="A1:V23"/>
  <sheetViews>
    <sheetView view="pageBreakPreview" topLeftCell="B7" zoomScaleNormal="80" zoomScaleSheetLayoutView="100" workbookViewId="0">
      <selection activeCell="B15" sqref="B15"/>
    </sheetView>
  </sheetViews>
  <sheetFormatPr defaultColWidth="9.28515625" defaultRowHeight="23.25" customHeight="1"/>
  <cols>
    <col min="1" max="1" width="47" style="3" customWidth="1"/>
    <col min="2" max="2" width="4" style="20" customWidth="1"/>
    <col min="3" max="3" width="11.7109375" style="3" customWidth="1"/>
    <col min="4" max="4" width="1.5703125" style="3" customWidth="1"/>
    <col min="5" max="5" width="11.42578125" style="3" customWidth="1"/>
    <col min="6" max="6" width="1.5703125" style="3" customWidth="1"/>
    <col min="7" max="7" width="12.42578125" style="3" customWidth="1"/>
    <col min="8" max="8" width="1.42578125" style="3" customWidth="1"/>
    <col min="9" max="9" width="12.7109375" style="3" customWidth="1"/>
    <col min="10" max="10" width="1.42578125" style="3" customWidth="1"/>
    <col min="11" max="11" width="11.7109375" style="3" customWidth="1"/>
    <col min="12" max="12" width="1.42578125" style="3" customWidth="1"/>
    <col min="13" max="13" width="12" style="3" customWidth="1"/>
    <col min="14" max="14" width="1.42578125" style="3" customWidth="1"/>
    <col min="15" max="15" width="11.7109375" style="3" customWidth="1"/>
    <col min="16" max="16" width="1.42578125" style="3" customWidth="1"/>
    <col min="17" max="17" width="13.28515625" style="3" customWidth="1"/>
    <col min="18" max="18" width="1.42578125" style="3" customWidth="1"/>
    <col min="19" max="19" width="12.5703125" style="3" customWidth="1"/>
    <col min="20" max="20" width="1.42578125" style="3" customWidth="1"/>
    <col min="21" max="21" width="14.7109375" style="3" bestFit="1" customWidth="1"/>
    <col min="22" max="22" width="11" style="3" bestFit="1" customWidth="1"/>
    <col min="23" max="23" width="10" style="3" bestFit="1" customWidth="1"/>
    <col min="24" max="16384" width="9.28515625" style="3"/>
  </cols>
  <sheetData>
    <row r="1" spans="1:22" ht="25.5" customHeight="1">
      <c r="A1" s="17" t="s">
        <v>103</v>
      </c>
      <c r="B1" s="150"/>
      <c r="G1" s="5"/>
      <c r="H1" s="15" t="s">
        <v>40</v>
      </c>
      <c r="I1" s="15"/>
      <c r="J1" s="15"/>
      <c r="K1" s="15"/>
      <c r="L1" s="15"/>
    </row>
    <row r="2" spans="1:22" s="15" customFormat="1" ht="25.5" customHeight="1">
      <c r="A2" s="17" t="s">
        <v>94</v>
      </c>
      <c r="B2" s="150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5" t="s">
        <v>18</v>
      </c>
    </row>
    <row r="3" spans="1:22" ht="21.75" customHeight="1">
      <c r="A3" s="36"/>
      <c r="B3" s="60"/>
      <c r="C3" s="36"/>
      <c r="D3" s="36"/>
      <c r="E3" s="36"/>
    </row>
    <row r="4" spans="1:22" ht="21.75" customHeight="1">
      <c r="A4" s="61"/>
      <c r="B4" s="150"/>
      <c r="C4" s="166" t="s">
        <v>32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</row>
    <row r="5" spans="1:22" ht="21.75" customHeight="1">
      <c r="A5" s="61"/>
      <c r="B5" s="150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63" t="s">
        <v>98</v>
      </c>
      <c r="P5" s="153"/>
      <c r="Q5" s="153"/>
      <c r="R5" s="153"/>
      <c r="S5" s="153"/>
      <c r="T5" s="153"/>
      <c r="U5" s="153"/>
    </row>
    <row r="6" spans="1:22" ht="21.75" customHeight="1">
      <c r="A6" s="61"/>
      <c r="B6" s="150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63" t="s">
        <v>99</v>
      </c>
      <c r="P6" s="153"/>
      <c r="Q6" s="153"/>
      <c r="R6" s="153"/>
      <c r="S6" s="153"/>
      <c r="T6" s="153"/>
      <c r="U6" s="153"/>
    </row>
    <row r="7" spans="1:22" ht="21.75">
      <c r="A7" s="61"/>
      <c r="B7" s="62"/>
      <c r="C7" s="153"/>
      <c r="D7" s="153"/>
      <c r="E7" s="153"/>
      <c r="F7" s="153"/>
      <c r="G7" s="153"/>
      <c r="H7" s="153"/>
      <c r="I7" s="153"/>
      <c r="J7" s="153"/>
      <c r="K7" s="164" t="s">
        <v>15</v>
      </c>
      <c r="L7" s="164"/>
      <c r="M7" s="164"/>
      <c r="N7" s="153"/>
      <c r="O7" s="154" t="s">
        <v>100</v>
      </c>
      <c r="P7" s="153"/>
      <c r="Q7" s="22"/>
      <c r="R7" s="149"/>
      <c r="S7" s="21"/>
      <c r="U7" s="148"/>
    </row>
    <row r="8" spans="1:22" ht="21.75" customHeight="1">
      <c r="A8" s="61"/>
      <c r="B8" s="62"/>
      <c r="C8" s="153"/>
      <c r="D8" s="153"/>
      <c r="E8" s="153"/>
      <c r="F8" s="153"/>
      <c r="G8" s="98" t="s">
        <v>109</v>
      </c>
      <c r="H8" s="153"/>
      <c r="I8" s="153"/>
      <c r="J8" s="153"/>
      <c r="K8" s="22"/>
      <c r="L8" s="22"/>
      <c r="M8" s="22"/>
      <c r="N8" s="153"/>
      <c r="O8" s="63"/>
      <c r="P8" s="153"/>
      <c r="Q8" s="64"/>
      <c r="R8" s="64"/>
      <c r="S8" s="64"/>
      <c r="T8" s="64"/>
      <c r="U8" s="64"/>
    </row>
    <row r="9" spans="1:22" ht="21.75" customHeight="1">
      <c r="A9" s="61"/>
      <c r="B9" s="62"/>
      <c r="C9" s="153"/>
      <c r="D9" s="153"/>
      <c r="E9" s="153"/>
      <c r="F9" s="153"/>
      <c r="G9" s="98" t="s">
        <v>110</v>
      </c>
      <c r="H9" s="153"/>
      <c r="I9" s="153"/>
      <c r="J9" s="153"/>
      <c r="K9" s="22"/>
      <c r="L9" s="22"/>
      <c r="M9" s="22"/>
      <c r="N9" s="153"/>
      <c r="O9" s="63" t="s">
        <v>109</v>
      </c>
      <c r="P9" s="153"/>
      <c r="Q9" s="64"/>
      <c r="R9" s="64"/>
      <c r="S9" s="64"/>
      <c r="T9" s="64"/>
      <c r="U9" s="64"/>
    </row>
    <row r="10" spans="1:22" ht="21.75" customHeight="1">
      <c r="A10" s="61"/>
      <c r="B10" s="62"/>
      <c r="C10" s="153"/>
      <c r="D10" s="153"/>
      <c r="E10" s="153"/>
      <c r="F10" s="153"/>
      <c r="G10" s="98" t="s">
        <v>111</v>
      </c>
      <c r="H10" s="153"/>
      <c r="I10" s="98" t="s">
        <v>115</v>
      </c>
      <c r="J10" s="153"/>
      <c r="K10" s="22"/>
      <c r="L10" s="22"/>
      <c r="M10" s="22"/>
      <c r="N10" s="153"/>
      <c r="O10" s="63" t="s">
        <v>116</v>
      </c>
      <c r="P10" s="153"/>
      <c r="Q10" s="64"/>
      <c r="R10" s="64"/>
      <c r="S10" s="64" t="s">
        <v>39</v>
      </c>
      <c r="T10" s="64"/>
      <c r="U10" s="64"/>
    </row>
    <row r="11" spans="1:22" ht="21.75" customHeight="1">
      <c r="A11" s="61"/>
      <c r="B11" s="152"/>
      <c r="C11" s="149" t="s">
        <v>0</v>
      </c>
      <c r="E11" s="149"/>
      <c r="F11" s="149"/>
      <c r="G11" s="149" t="s">
        <v>112</v>
      </c>
      <c r="H11" s="63"/>
      <c r="I11" s="98" t="s">
        <v>116</v>
      </c>
      <c r="J11" s="63"/>
      <c r="K11" s="21"/>
      <c r="L11" s="21"/>
      <c r="M11" s="21"/>
      <c r="N11" s="65"/>
      <c r="O11" s="64" t="s">
        <v>119</v>
      </c>
      <c r="P11" s="65"/>
      <c r="Q11" s="149" t="s">
        <v>61</v>
      </c>
      <c r="R11" s="64"/>
      <c r="S11" s="64" t="s">
        <v>62</v>
      </c>
      <c r="T11" s="64"/>
      <c r="U11" s="64"/>
    </row>
    <row r="12" spans="1:22" ht="21.75" customHeight="1">
      <c r="A12" s="61"/>
      <c r="B12" s="152"/>
      <c r="C12" s="149" t="s">
        <v>63</v>
      </c>
      <c r="E12" s="149" t="s">
        <v>38</v>
      </c>
      <c r="F12" s="149"/>
      <c r="G12" s="149" t="s">
        <v>113</v>
      </c>
      <c r="H12" s="63"/>
      <c r="I12" s="98" t="s">
        <v>117</v>
      </c>
      <c r="J12" s="63"/>
      <c r="K12" s="149" t="s">
        <v>64</v>
      </c>
      <c r="L12" s="149"/>
      <c r="M12" s="149" t="s">
        <v>65</v>
      </c>
      <c r="N12" s="63"/>
      <c r="O12" s="66" t="s">
        <v>120</v>
      </c>
      <c r="P12" s="63"/>
      <c r="Q12" s="64" t="s">
        <v>66</v>
      </c>
      <c r="R12" s="149"/>
      <c r="S12" s="149" t="s">
        <v>67</v>
      </c>
      <c r="T12" s="149"/>
      <c r="U12" s="149" t="s">
        <v>61</v>
      </c>
    </row>
    <row r="13" spans="1:22" ht="21.75" customHeight="1">
      <c r="A13" s="61"/>
      <c r="B13" s="67"/>
      <c r="C13" s="149" t="s">
        <v>35</v>
      </c>
      <c r="E13" s="149" t="s">
        <v>37</v>
      </c>
      <c r="F13" s="149"/>
      <c r="G13" s="149" t="s">
        <v>114</v>
      </c>
      <c r="H13" s="63"/>
      <c r="I13" s="98" t="s">
        <v>118</v>
      </c>
      <c r="J13" s="63"/>
      <c r="K13" s="149" t="s">
        <v>36</v>
      </c>
      <c r="L13" s="149"/>
      <c r="M13" s="149" t="s">
        <v>68</v>
      </c>
      <c r="N13" s="63"/>
      <c r="O13" s="64" t="s">
        <v>121</v>
      </c>
      <c r="P13" s="63"/>
      <c r="Q13" s="64" t="s">
        <v>77</v>
      </c>
      <c r="R13" s="64"/>
      <c r="S13" s="64" t="s">
        <v>69</v>
      </c>
      <c r="T13" s="64"/>
      <c r="U13" s="64" t="s">
        <v>66</v>
      </c>
    </row>
    <row r="14" spans="1:22" ht="21.75" customHeight="1">
      <c r="A14" s="21"/>
      <c r="B14" s="152"/>
      <c r="C14" s="165" t="s">
        <v>90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</row>
    <row r="15" spans="1:22" ht="21.75" customHeight="1">
      <c r="A15" s="68" t="s">
        <v>107</v>
      </c>
      <c r="B15" s="152"/>
    </row>
    <row r="16" spans="1:22" ht="21.75" customHeight="1">
      <c r="A16" s="69" t="s">
        <v>108</v>
      </c>
      <c r="B16" s="16"/>
      <c r="C16" s="11">
        <v>6499830</v>
      </c>
      <c r="D16" s="11"/>
      <c r="E16" s="11">
        <v>1532321</v>
      </c>
      <c r="F16" s="11"/>
      <c r="G16" s="11">
        <v>-423185</v>
      </c>
      <c r="H16" s="11"/>
      <c r="I16" s="11">
        <v>-129337</v>
      </c>
      <c r="J16" s="11"/>
      <c r="K16" s="11">
        <v>503800</v>
      </c>
      <c r="L16" s="11"/>
      <c r="M16" s="11">
        <v>3627201</v>
      </c>
      <c r="N16" s="11"/>
      <c r="O16" s="11">
        <v>-24927</v>
      </c>
      <c r="P16" s="11"/>
      <c r="Q16" s="11">
        <f>SUM(C16:P16)</f>
        <v>11585703</v>
      </c>
      <c r="R16" s="11"/>
      <c r="S16" s="11">
        <v>774099</v>
      </c>
      <c r="T16" s="70"/>
      <c r="U16" s="11">
        <f>SUM(Q16:S16)</f>
        <v>12359802</v>
      </c>
      <c r="V16" s="27"/>
    </row>
    <row r="17" spans="1:22" ht="21.75" customHeight="1">
      <c r="A17" s="74" t="s">
        <v>95</v>
      </c>
      <c r="B17" s="75"/>
      <c r="C17" s="48"/>
      <c r="D17" s="10"/>
      <c r="E17" s="48"/>
      <c r="F17" s="48"/>
      <c r="G17" s="48"/>
      <c r="H17" s="10"/>
      <c r="I17" s="10"/>
      <c r="J17" s="10"/>
      <c r="K17" s="48"/>
      <c r="L17" s="10"/>
      <c r="M17" s="48"/>
      <c r="N17" s="48"/>
      <c r="O17" s="10"/>
      <c r="P17" s="48"/>
      <c r="Q17" s="10"/>
      <c r="R17" s="10"/>
      <c r="S17" s="48"/>
      <c r="T17" s="48"/>
      <c r="U17" s="11"/>
    </row>
    <row r="18" spans="1:22" ht="21.75" customHeight="1">
      <c r="A18" s="21" t="s">
        <v>83</v>
      </c>
      <c r="B18" s="150"/>
      <c r="C18" s="73">
        <v>0</v>
      </c>
      <c r="D18" s="76"/>
      <c r="E18" s="73">
        <v>0</v>
      </c>
      <c r="F18" s="73"/>
      <c r="G18" s="73">
        <v>0</v>
      </c>
      <c r="H18" s="76"/>
      <c r="I18" s="99">
        <v>0</v>
      </c>
      <c r="J18" s="76"/>
      <c r="K18" s="73">
        <v>0</v>
      </c>
      <c r="L18" s="76"/>
      <c r="M18" s="104">
        <f>PL!E54</f>
        <v>166723</v>
      </c>
      <c r="N18" s="76"/>
      <c r="O18" s="73">
        <v>0</v>
      </c>
      <c r="P18" s="76"/>
      <c r="Q18" s="104">
        <f>M18</f>
        <v>166723</v>
      </c>
      <c r="R18" s="76"/>
      <c r="S18" s="104">
        <f>PL!E55</f>
        <v>21248</v>
      </c>
      <c r="T18" s="71"/>
      <c r="U18" s="104">
        <f>SUM(Q18:S18)</f>
        <v>187971</v>
      </c>
    </row>
    <row r="19" spans="1:22" ht="21.75" customHeight="1">
      <c r="A19" s="74" t="s">
        <v>156</v>
      </c>
      <c r="B19" s="16"/>
      <c r="C19" s="79">
        <f>C18</f>
        <v>0</v>
      </c>
      <c r="D19" s="80"/>
      <c r="E19" s="79">
        <f>E18</f>
        <v>0</v>
      </c>
      <c r="F19" s="80"/>
      <c r="G19" s="79">
        <f>G18</f>
        <v>0</v>
      </c>
      <c r="H19" s="14"/>
      <c r="I19" s="100">
        <f>I18</f>
        <v>0</v>
      </c>
      <c r="J19" s="14"/>
      <c r="K19" s="79">
        <f>K18</f>
        <v>0</v>
      </c>
      <c r="L19" s="14"/>
      <c r="M19" s="81">
        <f>SUM(M18:M18)</f>
        <v>166723</v>
      </c>
      <c r="N19" s="14"/>
      <c r="O19" s="81">
        <f>SUM(O18:O18)</f>
        <v>0</v>
      </c>
      <c r="P19" s="14"/>
      <c r="Q19" s="81">
        <f>SUM(Q18:Q18)</f>
        <v>166723</v>
      </c>
      <c r="R19" s="11"/>
      <c r="S19" s="81">
        <f>SUM(S18:S18)</f>
        <v>21248</v>
      </c>
      <c r="T19" s="14"/>
      <c r="U19" s="81">
        <f>SUM(U18:U18)</f>
        <v>187971</v>
      </c>
    </row>
    <row r="20" spans="1:22" ht="21.75" customHeight="1" thickBot="1">
      <c r="A20" s="74" t="s">
        <v>122</v>
      </c>
      <c r="B20" s="150"/>
      <c r="C20" s="13">
        <f>C16</f>
        <v>6499830</v>
      </c>
      <c r="D20" s="14"/>
      <c r="E20" s="13">
        <f>E16</f>
        <v>1532321</v>
      </c>
      <c r="F20" s="11"/>
      <c r="G20" s="13">
        <f>G16</f>
        <v>-423185</v>
      </c>
      <c r="H20" s="14"/>
      <c r="I20" s="23">
        <f>I16</f>
        <v>-129337</v>
      </c>
      <c r="J20" s="14"/>
      <c r="K20" s="13">
        <f>K16</f>
        <v>503800</v>
      </c>
      <c r="L20" s="14"/>
      <c r="M20" s="13">
        <f>SUM(M16,M19)</f>
        <v>3793924</v>
      </c>
      <c r="N20" s="14"/>
      <c r="O20" s="13">
        <f>O16+O19</f>
        <v>-24927</v>
      </c>
      <c r="P20" s="14"/>
      <c r="Q20" s="13">
        <f>SUM(Q16,Q19)</f>
        <v>11752426</v>
      </c>
      <c r="R20" s="11"/>
      <c r="S20" s="13">
        <f>SUM(S16,S19)</f>
        <v>795347</v>
      </c>
      <c r="T20" s="14"/>
      <c r="U20" s="13">
        <f>SUM(U16,U19)</f>
        <v>12547773</v>
      </c>
      <c r="V20" s="27"/>
    </row>
    <row r="21" spans="1:22" ht="23.25" customHeight="1" thickTop="1"/>
    <row r="22" spans="1:22" ht="24" hidden="1" customHeight="1">
      <c r="C22" s="11">
        <f>[2]FS!C77</f>
        <v>2232682</v>
      </c>
      <c r="D22" s="11"/>
      <c r="E22" s="11">
        <f>[2]FS!C78</f>
        <v>1828229</v>
      </c>
      <c r="F22" s="11"/>
      <c r="G22" s="11" t="str">
        <f>[2]FS!C79</f>
        <v>-</v>
      </c>
      <c r="H22" s="11"/>
      <c r="I22" s="11"/>
      <c r="J22" s="11"/>
      <c r="K22" s="11">
        <f>[2]FS!C82</f>
        <v>228530</v>
      </c>
      <c r="L22" s="11"/>
      <c r="M22" s="11">
        <f>[2]FS!C83</f>
        <v>32660144</v>
      </c>
      <c r="N22" s="11"/>
      <c r="O22" s="11"/>
      <c r="P22" s="11"/>
      <c r="Q22" s="11">
        <f>[2]FS!C85</f>
        <v>36896986</v>
      </c>
      <c r="R22" s="11"/>
      <c r="S22" s="11">
        <f>[2]FS!C86</f>
        <v>-9333</v>
      </c>
      <c r="T22" s="11"/>
      <c r="U22" s="11">
        <f>[2]FS!C87</f>
        <v>36887653</v>
      </c>
    </row>
    <row r="23" spans="1:22" s="9" customFormat="1" ht="23.25" hidden="1" customHeight="1">
      <c r="B23" s="83"/>
      <c r="C23" s="9">
        <f>C20-C22</f>
        <v>4267148</v>
      </c>
      <c r="E23" s="9">
        <f>E20-E22</f>
        <v>-295908</v>
      </c>
      <c r="G23" s="9" t="e">
        <f>G20-G22</f>
        <v>#VALUE!</v>
      </c>
      <c r="K23" s="9">
        <f>K20-K22</f>
        <v>275270</v>
      </c>
      <c r="M23" s="9">
        <f>M20-M22</f>
        <v>-28866220</v>
      </c>
      <c r="Q23" s="9">
        <f>Q20-Q22</f>
        <v>-25144560</v>
      </c>
      <c r="S23" s="9">
        <f>S20-S22</f>
        <v>804680</v>
      </c>
      <c r="U23" s="9">
        <f>U20-U22</f>
        <v>-24339880</v>
      </c>
    </row>
  </sheetData>
  <mergeCells count="3">
    <mergeCell ref="K7:M7"/>
    <mergeCell ref="C14:U14"/>
    <mergeCell ref="C4:U4"/>
  </mergeCells>
  <pageMargins left="0.8" right="0.8" top="0.48" bottom="0.5" header="0.5" footer="0.5"/>
  <pageSetup paperSize="9" scale="72" firstPageNumber="8" fitToHeight="2" orientation="landscape" useFirstPageNumber="1" r:id="rId1"/>
  <headerFooter>
    <oddFooter xml:space="preserve">&amp;Lหมายเหตุประกอบงบการเงินเป็นส่วนหนึ่งของงบการเงินนี้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77" max="16383" man="1"/>
    <brk id="78" max="16383" man="1"/>
    <brk id="79" max="16383" man="1"/>
    <brk id="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FF"/>
  </sheetPr>
  <dimension ref="A1:AA22"/>
  <sheetViews>
    <sheetView view="pageBreakPreview" topLeftCell="B4" zoomScaleNormal="80" zoomScaleSheetLayoutView="100" workbookViewId="0">
      <selection activeCell="B15" sqref="B15"/>
    </sheetView>
  </sheetViews>
  <sheetFormatPr defaultColWidth="9.28515625" defaultRowHeight="23.25" customHeight="1"/>
  <cols>
    <col min="1" max="1" width="38.5703125" style="3" customWidth="1"/>
    <col min="2" max="2" width="1.140625" style="20" customWidth="1"/>
    <col min="3" max="3" width="10.42578125" style="3" customWidth="1"/>
    <col min="4" max="4" width="1.5703125" style="3" customWidth="1"/>
    <col min="5" max="5" width="9.42578125" style="3" customWidth="1"/>
    <col min="6" max="6" width="1.5703125" style="3" customWidth="1"/>
    <col min="7" max="7" width="10.42578125" style="3" customWidth="1"/>
    <col min="8" max="8" width="1.42578125" style="3" customWidth="1"/>
    <col min="9" max="9" width="12.5703125" style="3" customWidth="1"/>
    <col min="10" max="10" width="1.42578125" style="3" customWidth="1"/>
    <col min="11" max="11" width="10.42578125" style="3" customWidth="1"/>
    <col min="12" max="12" width="1.42578125" style="3" customWidth="1"/>
    <col min="13" max="13" width="11.42578125" style="3" customWidth="1"/>
    <col min="14" max="14" width="1.42578125" style="3" customWidth="1"/>
    <col min="15" max="15" width="12.140625" style="3" customWidth="1"/>
    <col min="16" max="16" width="1.42578125" style="3" customWidth="1"/>
    <col min="17" max="17" width="9.140625" style="3" bestFit="1" customWidth="1"/>
    <col min="18" max="18" width="1.5703125" style="3" customWidth="1"/>
    <col min="19" max="19" width="9.5703125" style="3" customWidth="1"/>
    <col min="20" max="20" width="1.42578125" style="3" customWidth="1"/>
    <col min="21" max="21" width="12.7109375" style="3" customWidth="1"/>
    <col min="22" max="22" width="1.42578125" style="3" customWidth="1"/>
    <col min="23" max="23" width="10.42578125" style="3" bestFit="1" customWidth="1"/>
    <col min="24" max="24" width="1.42578125" style="3" customWidth="1"/>
    <col min="25" max="25" width="13.28515625" style="3" bestFit="1" customWidth="1"/>
    <col min="26" max="26" width="11" style="3" bestFit="1" customWidth="1"/>
    <col min="27" max="27" width="10" style="3" bestFit="1" customWidth="1"/>
    <col min="28" max="16384" width="9.28515625" style="3"/>
  </cols>
  <sheetData>
    <row r="1" spans="1:26" ht="25.5" customHeight="1">
      <c r="A1" s="17" t="s">
        <v>103</v>
      </c>
      <c r="B1" s="150"/>
      <c r="G1" s="5"/>
      <c r="H1" s="15" t="s">
        <v>40</v>
      </c>
      <c r="I1" s="15"/>
      <c r="J1" s="15"/>
      <c r="K1" s="15"/>
      <c r="L1" s="15"/>
    </row>
    <row r="2" spans="1:26" s="15" customFormat="1" ht="25.5" customHeight="1">
      <c r="A2" s="17" t="s">
        <v>94</v>
      </c>
      <c r="B2" s="150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5" t="s">
        <v>18</v>
      </c>
    </row>
    <row r="3" spans="1:26" ht="21.75" customHeight="1">
      <c r="A3" s="36"/>
      <c r="B3" s="60"/>
      <c r="C3" s="36"/>
      <c r="D3" s="36"/>
      <c r="E3" s="36"/>
    </row>
    <row r="4" spans="1:26" ht="21.75" customHeight="1">
      <c r="A4" s="61"/>
      <c r="B4" s="150"/>
      <c r="C4" s="166" t="s">
        <v>32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6" ht="21.75">
      <c r="A5" s="61"/>
      <c r="B5" s="62"/>
      <c r="C5" s="153"/>
      <c r="D5" s="153"/>
      <c r="E5" s="153"/>
      <c r="F5" s="153"/>
      <c r="G5" s="153"/>
      <c r="H5" s="153"/>
      <c r="I5" s="153"/>
      <c r="J5" s="153"/>
      <c r="K5" s="164" t="s">
        <v>15</v>
      </c>
      <c r="L5" s="164"/>
      <c r="M5" s="164"/>
      <c r="N5" s="153"/>
      <c r="O5" s="167" t="s">
        <v>59</v>
      </c>
      <c r="P5" s="167"/>
      <c r="Q5" s="167"/>
      <c r="R5" s="167"/>
      <c r="S5" s="167"/>
      <c r="T5" s="153"/>
      <c r="U5" s="22"/>
      <c r="V5" s="149"/>
      <c r="W5" s="21"/>
      <c r="Y5" s="148"/>
    </row>
    <row r="6" spans="1:26" ht="21.75" customHeight="1">
      <c r="A6" s="61"/>
      <c r="B6" s="62"/>
      <c r="C6" s="153"/>
      <c r="D6" s="153"/>
      <c r="E6" s="153"/>
      <c r="F6" s="153"/>
      <c r="G6" s="98" t="s">
        <v>109</v>
      </c>
      <c r="H6" s="153"/>
      <c r="I6" s="153"/>
      <c r="J6" s="153"/>
      <c r="K6" s="22"/>
      <c r="L6" s="22"/>
      <c r="M6" s="22"/>
      <c r="N6" s="153"/>
      <c r="O6" s="63"/>
      <c r="P6" s="63"/>
      <c r="Q6" s="63"/>
      <c r="R6" s="63"/>
      <c r="S6" s="63"/>
      <c r="T6" s="153"/>
      <c r="U6" s="64"/>
      <c r="V6" s="64"/>
      <c r="W6" s="64"/>
      <c r="X6" s="64"/>
      <c r="Y6" s="64"/>
    </row>
    <row r="7" spans="1:26" ht="21.75" customHeight="1">
      <c r="A7" s="61"/>
      <c r="B7" s="62"/>
      <c r="C7" s="153"/>
      <c r="D7" s="153"/>
      <c r="E7" s="153"/>
      <c r="F7" s="153"/>
      <c r="G7" s="98" t="s">
        <v>110</v>
      </c>
      <c r="H7" s="153"/>
      <c r="I7" s="153"/>
      <c r="J7" s="153"/>
      <c r="K7" s="22"/>
      <c r="L7" s="22"/>
      <c r="M7" s="22"/>
      <c r="N7" s="153"/>
      <c r="O7" s="63" t="s">
        <v>109</v>
      </c>
      <c r="P7" s="63"/>
      <c r="Q7" s="63" t="s">
        <v>184</v>
      </c>
      <c r="R7" s="63"/>
      <c r="S7" s="63" t="s">
        <v>187</v>
      </c>
      <c r="T7" s="153"/>
      <c r="U7" s="64"/>
      <c r="V7" s="64"/>
      <c r="W7" s="64"/>
      <c r="X7" s="64"/>
      <c r="Y7" s="64"/>
    </row>
    <row r="8" spans="1:26" ht="21.75" customHeight="1">
      <c r="A8" s="61"/>
      <c r="B8" s="62"/>
      <c r="C8" s="153"/>
      <c r="D8" s="153"/>
      <c r="E8" s="153"/>
      <c r="F8" s="153"/>
      <c r="G8" s="98" t="s">
        <v>111</v>
      </c>
      <c r="H8" s="153"/>
      <c r="I8" s="98" t="s">
        <v>115</v>
      </c>
      <c r="J8" s="153"/>
      <c r="K8" s="22"/>
      <c r="L8" s="22"/>
      <c r="M8" s="22"/>
      <c r="N8" s="153"/>
      <c r="O8" s="63" t="s">
        <v>116</v>
      </c>
      <c r="P8" s="63"/>
      <c r="Q8" s="63" t="s">
        <v>116</v>
      </c>
      <c r="R8" s="63"/>
      <c r="S8" s="63" t="s">
        <v>188</v>
      </c>
      <c r="T8" s="153"/>
      <c r="U8" s="64"/>
      <c r="V8" s="64"/>
      <c r="W8" s="64" t="s">
        <v>39</v>
      </c>
      <c r="X8" s="64"/>
      <c r="Y8" s="64"/>
    </row>
    <row r="9" spans="1:26" ht="21.75" customHeight="1">
      <c r="A9" s="61"/>
      <c r="B9" s="152"/>
      <c r="C9" s="149" t="s">
        <v>0</v>
      </c>
      <c r="E9" s="149"/>
      <c r="F9" s="149"/>
      <c r="G9" s="149" t="s">
        <v>112</v>
      </c>
      <c r="H9" s="63"/>
      <c r="I9" s="98" t="s">
        <v>116</v>
      </c>
      <c r="J9" s="63"/>
      <c r="K9" s="21"/>
      <c r="L9" s="21"/>
      <c r="M9" s="21"/>
      <c r="N9" s="65"/>
      <c r="O9" s="64" t="s">
        <v>119</v>
      </c>
      <c r="P9" s="64"/>
      <c r="Q9" s="64" t="s">
        <v>185</v>
      </c>
      <c r="R9" s="64"/>
      <c r="S9" s="64" t="s">
        <v>189</v>
      </c>
      <c r="T9" s="65"/>
      <c r="U9" s="149" t="s">
        <v>61</v>
      </c>
      <c r="V9" s="64"/>
      <c r="W9" s="64" t="s">
        <v>62</v>
      </c>
      <c r="X9" s="64"/>
      <c r="Y9" s="64"/>
    </row>
    <row r="10" spans="1:26" ht="21.75" customHeight="1">
      <c r="A10" s="61"/>
      <c r="B10" s="152"/>
      <c r="C10" s="149" t="s">
        <v>63</v>
      </c>
      <c r="E10" s="149" t="s">
        <v>38</v>
      </c>
      <c r="F10" s="149"/>
      <c r="G10" s="149" t="s">
        <v>113</v>
      </c>
      <c r="H10" s="63"/>
      <c r="I10" s="98" t="s">
        <v>117</v>
      </c>
      <c r="J10" s="63"/>
      <c r="K10" s="149" t="s">
        <v>64</v>
      </c>
      <c r="L10" s="149"/>
      <c r="M10" s="149" t="s">
        <v>65</v>
      </c>
      <c r="N10" s="63"/>
      <c r="O10" s="66" t="s">
        <v>120</v>
      </c>
      <c r="P10" s="66"/>
      <c r="Q10" s="66" t="s">
        <v>2</v>
      </c>
      <c r="R10" s="66"/>
      <c r="S10" s="66" t="s">
        <v>39</v>
      </c>
      <c r="T10" s="63"/>
      <c r="U10" s="64" t="s">
        <v>66</v>
      </c>
      <c r="V10" s="149"/>
      <c r="W10" s="149" t="s">
        <v>67</v>
      </c>
      <c r="X10" s="149"/>
      <c r="Y10" s="149" t="s">
        <v>61</v>
      </c>
    </row>
    <row r="11" spans="1:26" ht="21.75" customHeight="1">
      <c r="A11" s="61"/>
      <c r="B11" s="67"/>
      <c r="C11" s="149" t="s">
        <v>35</v>
      </c>
      <c r="E11" s="149" t="s">
        <v>37</v>
      </c>
      <c r="F11" s="149"/>
      <c r="G11" s="149" t="s">
        <v>114</v>
      </c>
      <c r="H11" s="63"/>
      <c r="I11" s="98" t="s">
        <v>118</v>
      </c>
      <c r="J11" s="63"/>
      <c r="K11" s="149" t="s">
        <v>36</v>
      </c>
      <c r="L11" s="149"/>
      <c r="M11" s="149" t="s">
        <v>68</v>
      </c>
      <c r="N11" s="63"/>
      <c r="O11" s="64" t="s">
        <v>121</v>
      </c>
      <c r="P11" s="64"/>
      <c r="Q11" s="64" t="s">
        <v>186</v>
      </c>
      <c r="R11" s="64"/>
      <c r="S11" s="64" t="s">
        <v>100</v>
      </c>
      <c r="T11" s="63"/>
      <c r="U11" s="64" t="s">
        <v>77</v>
      </c>
      <c r="V11" s="64"/>
      <c r="W11" s="64" t="s">
        <v>69</v>
      </c>
      <c r="X11" s="64"/>
      <c r="Y11" s="64" t="s">
        <v>66</v>
      </c>
    </row>
    <row r="12" spans="1:26" ht="21.75" customHeight="1">
      <c r="A12" s="21"/>
      <c r="B12" s="152"/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</row>
    <row r="13" spans="1:26" ht="21.75" customHeight="1">
      <c r="A13" s="68" t="s">
        <v>169</v>
      </c>
      <c r="B13" s="152"/>
    </row>
    <row r="14" spans="1:26" ht="21.75" customHeight="1">
      <c r="A14" s="69" t="s">
        <v>170</v>
      </c>
      <c r="B14" s="16"/>
      <c r="C14" s="11">
        <v>6499830</v>
      </c>
      <c r="D14" s="11"/>
      <c r="E14" s="11">
        <v>1532321</v>
      </c>
      <c r="F14" s="11"/>
      <c r="G14" s="11">
        <v>-423185</v>
      </c>
      <c r="H14" s="11"/>
      <c r="I14" s="11">
        <v>-129337</v>
      </c>
      <c r="J14" s="11"/>
      <c r="K14" s="11">
        <v>519900</v>
      </c>
      <c r="L14" s="11"/>
      <c r="M14" s="11">
        <f>BS!E94</f>
        <v>4864947</v>
      </c>
      <c r="N14" s="11"/>
      <c r="O14" s="11">
        <v>-24927</v>
      </c>
      <c r="P14" s="11"/>
      <c r="Q14" s="86">
        <v>0</v>
      </c>
      <c r="R14" s="86"/>
      <c r="S14" s="117">
        <f>SUM(O14:Q14)</f>
        <v>-24927</v>
      </c>
      <c r="T14" s="11"/>
      <c r="U14" s="11">
        <f>SUM(C14:M14,S14)</f>
        <v>12839549</v>
      </c>
      <c r="V14" s="11"/>
      <c r="W14" s="11">
        <v>874375</v>
      </c>
      <c r="X14" s="70"/>
      <c r="Y14" s="11">
        <f>SUM(U14:W14)</f>
        <v>13713924</v>
      </c>
      <c r="Z14" s="27"/>
    </row>
    <row r="15" spans="1:26" ht="21.75" customHeight="1">
      <c r="A15" s="74" t="s">
        <v>95</v>
      </c>
      <c r="B15" s="75"/>
      <c r="C15" s="48"/>
      <c r="D15" s="10"/>
      <c r="E15" s="48"/>
      <c r="F15" s="48"/>
      <c r="G15" s="48"/>
      <c r="H15" s="10"/>
      <c r="I15" s="10"/>
      <c r="J15" s="10"/>
      <c r="K15" s="48"/>
      <c r="L15" s="10"/>
      <c r="M15" s="48"/>
      <c r="N15" s="48"/>
      <c r="O15" s="10"/>
      <c r="P15" s="10"/>
      <c r="Q15" s="10"/>
      <c r="R15" s="10"/>
      <c r="S15" s="10"/>
      <c r="T15" s="48"/>
      <c r="U15" s="10"/>
      <c r="V15" s="10"/>
      <c r="W15" s="48"/>
      <c r="X15" s="48"/>
      <c r="Y15" s="11"/>
    </row>
    <row r="16" spans="1:26" ht="21.75" customHeight="1">
      <c r="A16" s="21" t="s">
        <v>83</v>
      </c>
      <c r="B16" s="150"/>
      <c r="C16" s="73">
        <v>0</v>
      </c>
      <c r="D16" s="76"/>
      <c r="E16" s="73">
        <v>0</v>
      </c>
      <c r="F16" s="73"/>
      <c r="G16" s="73">
        <v>0</v>
      </c>
      <c r="H16" s="76"/>
      <c r="I16" s="73">
        <v>0</v>
      </c>
      <c r="J16" s="76"/>
      <c r="K16" s="73">
        <v>0</v>
      </c>
      <c r="L16" s="76"/>
      <c r="M16" s="104">
        <f>PL!C54</f>
        <v>277835</v>
      </c>
      <c r="N16" s="76"/>
      <c r="O16" s="73">
        <v>0</v>
      </c>
      <c r="P16" s="73"/>
      <c r="Q16" s="73">
        <v>0</v>
      </c>
      <c r="R16" s="71"/>
      <c r="S16" s="71">
        <f>SUM(O16:Q16)</f>
        <v>0</v>
      </c>
      <c r="T16" s="76"/>
      <c r="U16" s="104">
        <f>SUM(C16:N16,S16)</f>
        <v>277835</v>
      </c>
      <c r="V16" s="76"/>
      <c r="W16" s="104">
        <f>PL!C55</f>
        <v>19034</v>
      </c>
      <c r="X16" s="71"/>
      <c r="Y16" s="104">
        <f>SUM(U16:W16)</f>
        <v>296869</v>
      </c>
    </row>
    <row r="17" spans="1:27" ht="21.75" customHeight="1">
      <c r="A17" s="21" t="s">
        <v>193</v>
      </c>
      <c r="B17" s="150"/>
      <c r="C17" s="73">
        <v>0</v>
      </c>
      <c r="D17" s="76"/>
      <c r="E17" s="73">
        <v>0</v>
      </c>
      <c r="F17" s="73"/>
      <c r="G17" s="73">
        <v>0</v>
      </c>
      <c r="H17" s="76"/>
      <c r="I17" s="73">
        <v>0</v>
      </c>
      <c r="J17" s="76"/>
      <c r="K17" s="73">
        <v>0</v>
      </c>
      <c r="L17" s="76"/>
      <c r="M17" s="73">
        <v>0</v>
      </c>
      <c r="N17" s="76"/>
      <c r="O17" s="73">
        <v>0</v>
      </c>
      <c r="P17" s="73"/>
      <c r="Q17" s="71">
        <v>32</v>
      </c>
      <c r="R17" s="71"/>
      <c r="S17" s="71">
        <f>SUM(O17:Q17)</f>
        <v>32</v>
      </c>
      <c r="T17" s="76"/>
      <c r="U17" s="104">
        <f>SUM(C17:N17,S17)</f>
        <v>32</v>
      </c>
      <c r="V17" s="76"/>
      <c r="W17" s="104">
        <v>16</v>
      </c>
      <c r="X17" s="71"/>
      <c r="Y17" s="104">
        <f>SUM(U17:W17)</f>
        <v>48</v>
      </c>
    </row>
    <row r="18" spans="1:27" ht="21.75" customHeight="1">
      <c r="A18" s="74" t="s">
        <v>156</v>
      </c>
      <c r="B18" s="16"/>
      <c r="C18" s="81">
        <f>SUM(C16:C17)</f>
        <v>0</v>
      </c>
      <c r="D18" s="80"/>
      <c r="E18" s="81">
        <f>SUM(E16:E17)</f>
        <v>0</v>
      </c>
      <c r="F18" s="80"/>
      <c r="G18" s="81">
        <f>SUM(G16:G17)</f>
        <v>0</v>
      </c>
      <c r="H18" s="14"/>
      <c r="I18" s="81">
        <f>SUM(I16:I17)</f>
        <v>0</v>
      </c>
      <c r="J18" s="14"/>
      <c r="K18" s="81">
        <f>SUM(K16:K17)</f>
        <v>0</v>
      </c>
      <c r="L18" s="14"/>
      <c r="M18" s="81">
        <f>SUM(M16:M17)</f>
        <v>277835</v>
      </c>
      <c r="N18" s="14"/>
      <c r="O18" s="81">
        <f>SUM(O16:O17)</f>
        <v>0</v>
      </c>
      <c r="P18" s="82"/>
      <c r="Q18" s="81">
        <f>SUM(Q16:Q17)</f>
        <v>32</v>
      </c>
      <c r="R18" s="82"/>
      <c r="S18" s="81">
        <f>SUM(S16:S17)</f>
        <v>32</v>
      </c>
      <c r="T18" s="14"/>
      <c r="U18" s="81">
        <f>SUM(U16:U17)</f>
        <v>277867</v>
      </c>
      <c r="V18" s="11"/>
      <c r="W18" s="81">
        <f>SUM(W16:W17)</f>
        <v>19050</v>
      </c>
      <c r="X18" s="14"/>
      <c r="Y18" s="81">
        <f>SUM(Y16:Y17)</f>
        <v>296917</v>
      </c>
      <c r="AA18" s="45"/>
    </row>
    <row r="19" spans="1:27" ht="21.75" customHeight="1" thickBot="1">
      <c r="A19" s="74" t="s">
        <v>171</v>
      </c>
      <c r="B19" s="150"/>
      <c r="C19" s="13">
        <f>C14</f>
        <v>6499830</v>
      </c>
      <c r="D19" s="14"/>
      <c r="E19" s="13">
        <f>E14</f>
        <v>1532321</v>
      </c>
      <c r="F19" s="11"/>
      <c r="G19" s="13">
        <f>G14</f>
        <v>-423185</v>
      </c>
      <c r="H19" s="14"/>
      <c r="I19" s="23">
        <f>I14</f>
        <v>-129337</v>
      </c>
      <c r="J19" s="14"/>
      <c r="K19" s="13">
        <f>K14</f>
        <v>519900</v>
      </c>
      <c r="L19" s="14"/>
      <c r="M19" s="13">
        <f>SUM(M14,M18)</f>
        <v>5142782</v>
      </c>
      <c r="N19" s="14"/>
      <c r="O19" s="13">
        <f>O14+O18</f>
        <v>-24927</v>
      </c>
      <c r="P19" s="11"/>
      <c r="Q19" s="13">
        <f>Q14+Q18</f>
        <v>32</v>
      </c>
      <c r="R19" s="11"/>
      <c r="S19" s="13">
        <f>S14+S18</f>
        <v>-24895</v>
      </c>
      <c r="T19" s="14"/>
      <c r="U19" s="13">
        <f>SUM(U14,U18)</f>
        <v>13117416</v>
      </c>
      <c r="V19" s="11"/>
      <c r="W19" s="13">
        <f>SUM(W14,W18)</f>
        <v>893425</v>
      </c>
      <c r="X19" s="14"/>
      <c r="Y19" s="13">
        <f>SUM(Y14,Y18)</f>
        <v>14010841</v>
      </c>
      <c r="Z19" s="9">
        <f>Y19-BS!C98</f>
        <v>0</v>
      </c>
    </row>
    <row r="20" spans="1:27" ht="23.25" customHeight="1" thickTop="1"/>
    <row r="21" spans="1:27" ht="24" hidden="1" customHeight="1">
      <c r="C21" s="11">
        <f>[2]FS!C77</f>
        <v>2232682</v>
      </c>
      <c r="D21" s="11"/>
      <c r="E21" s="11">
        <f>[2]FS!C78</f>
        <v>1828229</v>
      </c>
      <c r="F21" s="11"/>
      <c r="G21" s="11" t="str">
        <f>[2]FS!C79</f>
        <v>-</v>
      </c>
      <c r="H21" s="11"/>
      <c r="I21" s="11"/>
      <c r="J21" s="11"/>
      <c r="K21" s="11">
        <f>[2]FS!C82</f>
        <v>228530</v>
      </c>
      <c r="L21" s="11"/>
      <c r="M21" s="11">
        <f>[2]FS!C83</f>
        <v>32660144</v>
      </c>
      <c r="N21" s="11"/>
      <c r="O21" s="11"/>
      <c r="P21" s="11"/>
      <c r="Q21" s="11"/>
      <c r="R21" s="11"/>
      <c r="S21" s="11"/>
      <c r="T21" s="11"/>
      <c r="U21" s="11">
        <f>[2]FS!C85</f>
        <v>36896986</v>
      </c>
      <c r="V21" s="11"/>
      <c r="W21" s="11">
        <f>[2]FS!C86</f>
        <v>-9333</v>
      </c>
      <c r="X21" s="11"/>
      <c r="Y21" s="11">
        <f>[2]FS!C87</f>
        <v>36887653</v>
      </c>
    </row>
    <row r="22" spans="1:27" s="9" customFormat="1" ht="23.25" hidden="1" customHeight="1">
      <c r="B22" s="83"/>
      <c r="C22" s="9">
        <f>C19-C21</f>
        <v>4267148</v>
      </c>
      <c r="E22" s="9">
        <f>E19-E21</f>
        <v>-295908</v>
      </c>
      <c r="G22" s="9" t="e">
        <f>G19-G21</f>
        <v>#VALUE!</v>
      </c>
      <c r="K22" s="9">
        <f>K19-K21</f>
        <v>291370</v>
      </c>
      <c r="M22" s="9">
        <f>M19-M21</f>
        <v>-27517362</v>
      </c>
      <c r="U22" s="9">
        <f>U19-U21</f>
        <v>-23779570</v>
      </c>
      <c r="W22" s="9">
        <f>W19-W21</f>
        <v>902758</v>
      </c>
      <c r="Y22" s="9">
        <f>Y19-Y21</f>
        <v>-22876812</v>
      </c>
    </row>
  </sheetData>
  <mergeCells count="4">
    <mergeCell ref="C4:Y4"/>
    <mergeCell ref="K5:M5"/>
    <mergeCell ref="C12:Y12"/>
    <mergeCell ref="O5:S5"/>
  </mergeCells>
  <pageMargins left="0.8" right="0.8" top="0.48" bottom="0.5" header="0.5" footer="0.5"/>
  <pageSetup paperSize="9" scale="72" firstPageNumber="9" fitToHeight="2" orientation="landscape" useFirstPageNumber="1" r:id="rId1"/>
  <headerFooter>
    <oddFooter xml:space="preserve">&amp;Lหมายเหตุประกอบงบการเงินเป็นส่วนหนึ่งของงบการเงินนี้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76" max="16383" man="1"/>
    <brk id="77" max="16383" man="1"/>
    <brk id="78" max="16383" man="1"/>
    <brk id="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FF"/>
  </sheetPr>
  <dimension ref="A1:N19"/>
  <sheetViews>
    <sheetView view="pageBreakPreview" topLeftCell="A2" zoomScaleNormal="90" zoomScaleSheetLayoutView="100" workbookViewId="0">
      <selection activeCell="B15" sqref="B15"/>
    </sheetView>
  </sheetViews>
  <sheetFormatPr defaultColWidth="9.28515625" defaultRowHeight="23.25" customHeight="1"/>
  <cols>
    <col min="1" max="1" width="51.7109375" style="3" customWidth="1"/>
    <col min="2" max="2" width="7.5703125" style="20" customWidth="1"/>
    <col min="3" max="3" width="1.42578125" style="3" customWidth="1"/>
    <col min="4" max="4" width="13.7109375" style="3" customWidth="1"/>
    <col min="5" max="5" width="1.42578125" style="3" customWidth="1"/>
    <col min="6" max="6" width="14" style="3" customWidth="1"/>
    <col min="7" max="7" width="1.42578125" style="3" customWidth="1"/>
    <col min="8" max="8" width="14.5703125" style="3" customWidth="1"/>
    <col min="9" max="9" width="1.42578125" style="3" customWidth="1"/>
    <col min="10" max="10" width="14.5703125" style="3" customWidth="1"/>
    <col min="11" max="11" width="1.42578125" style="3" customWidth="1"/>
    <col min="12" max="12" width="13.5703125" style="3" customWidth="1"/>
    <col min="13" max="13" width="11.7109375" style="3" customWidth="1"/>
    <col min="14" max="16384" width="9.28515625" style="3"/>
  </cols>
  <sheetData>
    <row r="1" spans="1:14" ht="23.25" customHeight="1">
      <c r="A1" s="17" t="s">
        <v>103</v>
      </c>
    </row>
    <row r="2" spans="1:14" ht="23.25" customHeight="1">
      <c r="A2" s="17" t="s">
        <v>94</v>
      </c>
      <c r="L2" s="15"/>
    </row>
    <row r="3" spans="1:14" ht="23.25" customHeight="1">
      <c r="A3" s="4"/>
      <c r="B3" s="4"/>
      <c r="C3" s="4"/>
      <c r="D3" s="4"/>
      <c r="E3" s="4"/>
      <c r="F3" s="4"/>
    </row>
    <row r="4" spans="1:14" ht="23.25" customHeight="1">
      <c r="A4" s="61"/>
      <c r="B4" s="152"/>
      <c r="C4" s="152"/>
      <c r="D4" s="161" t="s">
        <v>46</v>
      </c>
      <c r="E4" s="161"/>
      <c r="F4" s="161"/>
      <c r="G4" s="161"/>
      <c r="H4" s="161"/>
      <c r="I4" s="161"/>
      <c r="J4" s="161"/>
      <c r="K4" s="161"/>
      <c r="L4" s="161"/>
    </row>
    <row r="5" spans="1:14" ht="23.25" customHeight="1">
      <c r="A5" s="61"/>
      <c r="B5" s="152"/>
      <c r="D5" s="21"/>
      <c r="F5" s="149"/>
      <c r="G5" s="63"/>
      <c r="H5" s="164" t="s">
        <v>15</v>
      </c>
      <c r="I5" s="164"/>
      <c r="J5" s="164"/>
      <c r="K5" s="149"/>
    </row>
    <row r="6" spans="1:14" ht="23.25" customHeight="1">
      <c r="A6" s="61"/>
      <c r="B6" s="152"/>
      <c r="D6" s="149" t="s">
        <v>0</v>
      </c>
      <c r="F6" s="149"/>
      <c r="G6" s="63"/>
      <c r="H6" s="21"/>
      <c r="I6" s="21"/>
      <c r="J6" s="21"/>
      <c r="K6" s="149"/>
      <c r="L6" s="21"/>
    </row>
    <row r="7" spans="1:14" ht="23.25" customHeight="1">
      <c r="A7" s="61"/>
      <c r="B7" s="67"/>
      <c r="D7" s="149" t="s">
        <v>63</v>
      </c>
      <c r="F7" s="149" t="s">
        <v>38</v>
      </c>
      <c r="G7" s="63"/>
      <c r="H7" s="149" t="s">
        <v>64</v>
      </c>
      <c r="I7" s="149"/>
      <c r="J7" s="149" t="s">
        <v>65</v>
      </c>
      <c r="K7" s="149"/>
      <c r="L7" s="149" t="s">
        <v>61</v>
      </c>
    </row>
    <row r="8" spans="1:14" ht="23.25" customHeight="1">
      <c r="A8" s="61"/>
      <c r="B8" s="67"/>
      <c r="D8" s="149" t="s">
        <v>35</v>
      </c>
      <c r="F8" s="149" t="s">
        <v>37</v>
      </c>
      <c r="G8" s="63"/>
      <c r="H8" s="149" t="s">
        <v>36</v>
      </c>
      <c r="I8" s="149"/>
      <c r="J8" s="149" t="s">
        <v>68</v>
      </c>
      <c r="K8" s="149"/>
      <c r="L8" s="149" t="s">
        <v>66</v>
      </c>
    </row>
    <row r="9" spans="1:14" ht="23.25" customHeight="1">
      <c r="A9" s="21"/>
      <c r="B9" s="152"/>
      <c r="C9" s="152"/>
      <c r="D9" s="165" t="s">
        <v>90</v>
      </c>
      <c r="E9" s="165"/>
      <c r="F9" s="165"/>
      <c r="G9" s="165"/>
      <c r="H9" s="165"/>
      <c r="I9" s="165"/>
      <c r="J9" s="165"/>
      <c r="K9" s="165"/>
      <c r="L9" s="165"/>
    </row>
    <row r="10" spans="1:14" ht="23.25" customHeight="1">
      <c r="A10" s="68" t="s">
        <v>107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14" ht="23.25" customHeight="1">
      <c r="A11" s="74" t="s">
        <v>108</v>
      </c>
      <c r="B11" s="84"/>
      <c r="C11" s="11"/>
      <c r="D11" s="11">
        <v>6499830</v>
      </c>
      <c r="E11" s="11">
        <v>0</v>
      </c>
      <c r="F11" s="11">
        <v>1532321</v>
      </c>
      <c r="G11" s="11">
        <v>0</v>
      </c>
      <c r="H11" s="11">
        <v>366900</v>
      </c>
      <c r="I11" s="11">
        <v>0</v>
      </c>
      <c r="J11" s="11">
        <v>2885502</v>
      </c>
      <c r="K11" s="11"/>
      <c r="L11" s="11">
        <f>SUM(D11:J11)</f>
        <v>11284553</v>
      </c>
    </row>
    <row r="12" spans="1:14" ht="23.25" customHeight="1">
      <c r="A12" s="74" t="s">
        <v>95</v>
      </c>
      <c r="C12" s="11"/>
      <c r="D12" s="11"/>
      <c r="E12" s="11"/>
      <c r="F12" s="11"/>
      <c r="G12" s="11"/>
      <c r="H12" s="11"/>
      <c r="I12" s="11"/>
      <c r="J12" s="11"/>
      <c r="K12" s="11"/>
      <c r="L12" s="77"/>
    </row>
    <row r="13" spans="1:14" ht="23.25" customHeight="1">
      <c r="A13" s="21" t="s">
        <v>83</v>
      </c>
      <c r="C13" s="85"/>
      <c r="D13" s="72">
        <v>0</v>
      </c>
      <c r="E13" s="85"/>
      <c r="F13" s="72">
        <v>0</v>
      </c>
      <c r="G13" s="86"/>
      <c r="H13" s="72">
        <v>0</v>
      </c>
      <c r="I13" s="11"/>
      <c r="J13" s="87">
        <f>PL!I54</f>
        <v>8109</v>
      </c>
      <c r="K13" s="88"/>
      <c r="L13" s="78">
        <f>SUM(D13:J13)</f>
        <v>8109</v>
      </c>
    </row>
    <row r="14" spans="1:14" ht="23.25" customHeight="1">
      <c r="A14" s="74" t="s">
        <v>156</v>
      </c>
      <c r="C14" s="82"/>
      <c r="D14" s="81">
        <v>0</v>
      </c>
      <c r="E14" s="82"/>
      <c r="F14" s="81">
        <v>0</v>
      </c>
      <c r="G14" s="82"/>
      <c r="H14" s="81">
        <v>0</v>
      </c>
      <c r="I14" s="14"/>
      <c r="J14" s="81">
        <f>SUM(J13:J13)</f>
        <v>8109</v>
      </c>
      <c r="K14" s="14"/>
      <c r="L14" s="81">
        <f>SUM(D14:J14)</f>
        <v>8109</v>
      </c>
    </row>
    <row r="15" spans="1:14" ht="23.25" customHeight="1" thickBot="1">
      <c r="A15" s="74" t="s">
        <v>122</v>
      </c>
      <c r="C15" s="11"/>
      <c r="D15" s="13">
        <f>D11</f>
        <v>6499830</v>
      </c>
      <c r="E15" s="11"/>
      <c r="F15" s="13">
        <f>F11</f>
        <v>1532321</v>
      </c>
      <c r="G15" s="11"/>
      <c r="H15" s="13">
        <f>+H11</f>
        <v>366900</v>
      </c>
      <c r="I15" s="14"/>
      <c r="J15" s="13">
        <f>+J11+J14</f>
        <v>2893611</v>
      </c>
      <c r="K15" s="14"/>
      <c r="L15" s="13">
        <f>SUM(D15:J15)</f>
        <v>11292662</v>
      </c>
      <c r="M15" s="27"/>
    </row>
    <row r="16" spans="1:14" ht="23.25" customHeight="1" thickTop="1">
      <c r="N16" s="11"/>
    </row>
    <row r="17" spans="4:14" ht="23.25" customHeight="1">
      <c r="N17" s="11"/>
    </row>
    <row r="18" spans="4:14" ht="23.25" hidden="1" customHeight="1">
      <c r="D18" s="11">
        <f>[2]FS!G77</f>
        <v>2232682</v>
      </c>
      <c r="F18" s="11">
        <f>[2]FS!G78</f>
        <v>1828229</v>
      </c>
      <c r="H18" s="11">
        <f>[2]FS!G82</f>
        <v>228530</v>
      </c>
      <c r="J18" s="11">
        <f>[2]FS!G83</f>
        <v>26538983</v>
      </c>
      <c r="L18" s="11">
        <f>[2]FS!G87</f>
        <v>30828424</v>
      </c>
    </row>
    <row r="19" spans="4:14" ht="23.25" hidden="1" customHeight="1">
      <c r="D19" s="27">
        <f>D15-D18</f>
        <v>4267148</v>
      </c>
      <c r="F19" s="9">
        <f>F15-F18</f>
        <v>-295908</v>
      </c>
      <c r="H19" s="9">
        <f>H15-H18</f>
        <v>138370</v>
      </c>
      <c r="J19" s="9">
        <f>J15-J18</f>
        <v>-23645372</v>
      </c>
      <c r="L19" s="9">
        <f>L15-L18</f>
        <v>-19535762</v>
      </c>
    </row>
  </sheetData>
  <mergeCells count="3">
    <mergeCell ref="D4:L4"/>
    <mergeCell ref="H5:J5"/>
    <mergeCell ref="D9:L9"/>
  </mergeCells>
  <phoneticPr fontId="5" type="noConversion"/>
  <pageMargins left="0.8" right="0.8" top="0.48" bottom="0.5" header="0.5" footer="0.5"/>
  <pageSetup paperSize="9" firstPageNumber="10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121" max="16383" man="1"/>
    <brk id="122" max="16383" man="1"/>
    <brk id="123" max="16383" man="1"/>
    <brk id="12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FF"/>
  </sheetPr>
  <dimension ref="A1:P22"/>
  <sheetViews>
    <sheetView view="pageBreakPreview" topLeftCell="A4" zoomScaleNormal="90" zoomScaleSheetLayoutView="100" workbookViewId="0">
      <selection activeCell="F12" sqref="F12:F13"/>
    </sheetView>
  </sheetViews>
  <sheetFormatPr defaultColWidth="9.28515625" defaultRowHeight="23.25" customHeight="1"/>
  <cols>
    <col min="1" max="1" width="45.140625" style="3" customWidth="1"/>
    <col min="2" max="2" width="1.7109375" style="20" customWidth="1"/>
    <col min="3" max="3" width="1.42578125" style="3" customWidth="1"/>
    <col min="4" max="4" width="12.85546875" style="3" customWidth="1"/>
    <col min="5" max="5" width="1.42578125" style="3" customWidth="1"/>
    <col min="6" max="6" width="13" style="3" customWidth="1"/>
    <col min="7" max="7" width="1.42578125" style="3" customWidth="1"/>
    <col min="8" max="8" width="13.5703125" style="3" customWidth="1"/>
    <col min="9" max="9" width="1.42578125" style="3" customWidth="1"/>
    <col min="10" max="10" width="13.5703125" style="3" customWidth="1"/>
    <col min="11" max="11" width="1.42578125" style="3" customWidth="1"/>
    <col min="12" max="12" width="14.42578125" style="3" customWidth="1"/>
    <col min="13" max="13" width="1.42578125" style="3" customWidth="1"/>
    <col min="14" max="14" width="13.5703125" style="3" customWidth="1"/>
    <col min="15" max="15" width="11.7109375" style="3" customWidth="1"/>
    <col min="16" max="16384" width="9.28515625" style="3"/>
  </cols>
  <sheetData>
    <row r="1" spans="1:14" ht="23.25" customHeight="1">
      <c r="A1" s="17" t="s">
        <v>103</v>
      </c>
    </row>
    <row r="2" spans="1:14" ht="23.25" customHeight="1">
      <c r="A2" s="17" t="s">
        <v>94</v>
      </c>
      <c r="N2" s="15"/>
    </row>
    <row r="3" spans="1:14" ht="23.25" customHeight="1">
      <c r="A3" s="4"/>
      <c r="B3" s="4"/>
      <c r="C3" s="4"/>
      <c r="D3" s="4"/>
      <c r="E3" s="4"/>
      <c r="F3" s="4"/>
    </row>
    <row r="4" spans="1:14" ht="23.25" customHeight="1">
      <c r="A4" s="61"/>
      <c r="B4" s="152"/>
      <c r="C4" s="152"/>
      <c r="D4" s="161" t="s">
        <v>46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4" ht="23.25" customHeight="1">
      <c r="A5" s="61"/>
      <c r="B5" s="152"/>
      <c r="C5" s="152"/>
      <c r="D5" s="148"/>
      <c r="E5" s="148"/>
      <c r="F5" s="148"/>
      <c r="G5" s="148"/>
      <c r="H5" s="148"/>
      <c r="I5" s="148"/>
      <c r="J5" s="148"/>
      <c r="K5" s="148"/>
      <c r="L5" s="149" t="s">
        <v>98</v>
      </c>
      <c r="M5" s="148"/>
      <c r="N5" s="148"/>
    </row>
    <row r="6" spans="1:14" ht="23.25" customHeight="1">
      <c r="A6" s="61"/>
      <c r="B6" s="152"/>
      <c r="C6" s="148"/>
      <c r="D6" s="148"/>
      <c r="E6" s="148"/>
      <c r="F6" s="148"/>
      <c r="G6" s="148"/>
      <c r="H6" s="148"/>
      <c r="I6" s="148"/>
      <c r="J6" s="148"/>
      <c r="K6" s="148"/>
      <c r="L6" s="149" t="s">
        <v>99</v>
      </c>
      <c r="M6" s="148"/>
      <c r="N6" s="148"/>
    </row>
    <row r="7" spans="1:14" ht="23.25" customHeight="1">
      <c r="A7" s="61"/>
      <c r="B7" s="152"/>
      <c r="D7" s="21"/>
      <c r="F7" s="149"/>
      <c r="G7" s="63"/>
      <c r="H7" s="164" t="s">
        <v>15</v>
      </c>
      <c r="I7" s="164"/>
      <c r="J7" s="164"/>
      <c r="K7" s="22"/>
      <c r="L7" s="151" t="s">
        <v>100</v>
      </c>
      <c r="M7" s="149"/>
    </row>
    <row r="8" spans="1:14" ht="23.25" customHeight="1">
      <c r="A8" s="61"/>
      <c r="B8" s="152"/>
      <c r="D8" s="149" t="s">
        <v>0</v>
      </c>
      <c r="F8" s="149"/>
      <c r="G8" s="63"/>
      <c r="H8" s="21"/>
      <c r="I8" s="21"/>
      <c r="J8" s="21"/>
      <c r="K8" s="21"/>
      <c r="L8" s="22" t="s">
        <v>191</v>
      </c>
      <c r="M8" s="149"/>
      <c r="N8" s="21"/>
    </row>
    <row r="9" spans="1:14" ht="23.25" customHeight="1">
      <c r="A9" s="61"/>
      <c r="B9" s="67"/>
      <c r="D9" s="149" t="s">
        <v>63</v>
      </c>
      <c r="F9" s="149" t="s">
        <v>38</v>
      </c>
      <c r="G9" s="63"/>
      <c r="H9" s="149" t="s">
        <v>64</v>
      </c>
      <c r="I9" s="149"/>
      <c r="J9" s="149" t="s">
        <v>65</v>
      </c>
      <c r="K9" s="149"/>
      <c r="L9" s="149" t="s">
        <v>192</v>
      </c>
      <c r="M9" s="149"/>
      <c r="N9" s="149" t="s">
        <v>61</v>
      </c>
    </row>
    <row r="10" spans="1:14" ht="23.25" customHeight="1">
      <c r="A10" s="61"/>
      <c r="B10" s="67"/>
      <c r="D10" s="149" t="s">
        <v>35</v>
      </c>
      <c r="F10" s="149" t="s">
        <v>37</v>
      </c>
      <c r="G10" s="63"/>
      <c r="H10" s="149" t="s">
        <v>36</v>
      </c>
      <c r="I10" s="149"/>
      <c r="J10" s="149" t="s">
        <v>68</v>
      </c>
      <c r="K10" s="149"/>
      <c r="L10" s="149" t="s">
        <v>186</v>
      </c>
      <c r="M10" s="149"/>
      <c r="N10" s="149" t="s">
        <v>66</v>
      </c>
    </row>
    <row r="11" spans="1:14" ht="23.25" customHeight="1">
      <c r="A11" s="21"/>
      <c r="B11" s="152"/>
      <c r="C11" s="152"/>
      <c r="D11" s="165" t="s">
        <v>90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</row>
    <row r="12" spans="1:14" ht="23.25" customHeight="1">
      <c r="A12" s="68" t="s">
        <v>169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</row>
    <row r="13" spans="1:14" ht="23.25" customHeight="1">
      <c r="A13" s="74" t="s">
        <v>170</v>
      </c>
      <c r="B13" s="84"/>
      <c r="C13" s="11"/>
      <c r="D13" s="11">
        <v>6499830</v>
      </c>
      <c r="E13" s="11">
        <v>0</v>
      </c>
      <c r="F13" s="11">
        <v>1532321</v>
      </c>
      <c r="G13" s="11">
        <v>0</v>
      </c>
      <c r="H13" s="11">
        <v>383000</v>
      </c>
      <c r="I13" s="11">
        <v>0</v>
      </c>
      <c r="J13" s="11">
        <f>BS!I94</f>
        <v>3190900</v>
      </c>
      <c r="K13" s="11"/>
      <c r="L13" s="86">
        <v>0</v>
      </c>
      <c r="M13" s="11"/>
      <c r="N13" s="11">
        <f>SUM(D13:L13)</f>
        <v>11606051</v>
      </c>
    </row>
    <row r="14" spans="1:14" ht="23.25" customHeight="1">
      <c r="A14" s="74" t="s">
        <v>95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77"/>
    </row>
    <row r="15" spans="1:14" ht="23.25" customHeight="1">
      <c r="A15" s="21" t="s">
        <v>83</v>
      </c>
      <c r="C15" s="85"/>
      <c r="D15" s="72">
        <v>0</v>
      </c>
      <c r="E15" s="85"/>
      <c r="F15" s="72">
        <v>0</v>
      </c>
      <c r="G15" s="86"/>
      <c r="H15" s="72">
        <v>0</v>
      </c>
      <c r="I15" s="11"/>
      <c r="J15" s="87">
        <f>+PL!G54</f>
        <v>205091</v>
      </c>
      <c r="K15" s="87"/>
      <c r="L15" s="127">
        <v>0</v>
      </c>
      <c r="M15" s="88"/>
      <c r="N15" s="78">
        <f>SUM(D15:L15)</f>
        <v>205091</v>
      </c>
    </row>
    <row r="16" spans="1:14" ht="23.25" customHeight="1">
      <c r="A16" s="21" t="s">
        <v>193</v>
      </c>
      <c r="C16" s="85"/>
      <c r="D16" s="72">
        <v>0</v>
      </c>
      <c r="E16" s="85"/>
      <c r="F16" s="72">
        <v>0</v>
      </c>
      <c r="G16" s="86"/>
      <c r="H16" s="72">
        <v>0</v>
      </c>
      <c r="I16" s="11"/>
      <c r="J16" s="128">
        <v>0</v>
      </c>
      <c r="K16" s="87"/>
      <c r="L16" s="128">
        <f>BS!G95</f>
        <v>48</v>
      </c>
      <c r="M16" s="88"/>
      <c r="N16" s="78">
        <f>SUM(D16:L16)</f>
        <v>48</v>
      </c>
    </row>
    <row r="17" spans="1:16" ht="23.25" customHeight="1">
      <c r="A17" s="74" t="s">
        <v>156</v>
      </c>
      <c r="C17" s="82"/>
      <c r="D17" s="81">
        <f>SUM(D15:D16)</f>
        <v>0</v>
      </c>
      <c r="E17" s="82"/>
      <c r="F17" s="81">
        <f>SUM(F15:F16)</f>
        <v>0</v>
      </c>
      <c r="G17" s="82"/>
      <c r="H17" s="81">
        <f>SUM(H15:H16)</f>
        <v>0</v>
      </c>
      <c r="I17" s="14"/>
      <c r="J17" s="81">
        <f>SUM(J15:J16)</f>
        <v>205091</v>
      </c>
      <c r="K17" s="82"/>
      <c r="L17" s="81">
        <f>SUM(L15:L16)</f>
        <v>48</v>
      </c>
      <c r="M17" s="14"/>
      <c r="N17" s="81">
        <f>SUM(D17:L17)</f>
        <v>205139</v>
      </c>
    </row>
    <row r="18" spans="1:16" ht="23.25" customHeight="1" thickBot="1">
      <c r="A18" s="74" t="s">
        <v>171</v>
      </c>
      <c r="C18" s="11"/>
      <c r="D18" s="13">
        <f>D13</f>
        <v>6499830</v>
      </c>
      <c r="E18" s="11"/>
      <c r="F18" s="13">
        <f>F13</f>
        <v>1532321</v>
      </c>
      <c r="G18" s="11"/>
      <c r="H18" s="13">
        <f>+H13</f>
        <v>383000</v>
      </c>
      <c r="I18" s="14"/>
      <c r="J18" s="13">
        <f>+J13+J17</f>
        <v>3395991</v>
      </c>
      <c r="K18" s="11"/>
      <c r="L18" s="13">
        <f>+L13+L17</f>
        <v>48</v>
      </c>
      <c r="M18" s="14"/>
      <c r="N18" s="13">
        <f>SUM(D18:L18)</f>
        <v>11811190</v>
      </c>
      <c r="O18" s="9">
        <f>N18-BS!G98</f>
        <v>0</v>
      </c>
    </row>
    <row r="19" spans="1:16" ht="23.25" customHeight="1" thickTop="1">
      <c r="P19" s="11"/>
    </row>
    <row r="20" spans="1:16" ht="23.25" customHeight="1">
      <c r="P20" s="11"/>
    </row>
    <row r="21" spans="1:16" ht="23.25" hidden="1" customHeight="1">
      <c r="D21" s="11">
        <f>[2]FS!G77</f>
        <v>2232682</v>
      </c>
      <c r="F21" s="11">
        <f>[2]FS!G78</f>
        <v>1828229</v>
      </c>
      <c r="H21" s="11">
        <f>[2]FS!G82</f>
        <v>228530</v>
      </c>
      <c r="J21" s="11">
        <f>[2]FS!G83</f>
        <v>26538983</v>
      </c>
      <c r="K21" s="11"/>
      <c r="L21" s="11"/>
      <c r="N21" s="11">
        <f>[2]FS!G87</f>
        <v>30828424</v>
      </c>
    </row>
    <row r="22" spans="1:16" ht="23.25" hidden="1" customHeight="1">
      <c r="D22" s="27">
        <f>D18-D21</f>
        <v>4267148</v>
      </c>
      <c r="F22" s="9">
        <f>F18-F21</f>
        <v>-295908</v>
      </c>
      <c r="H22" s="9">
        <f>H18-H21</f>
        <v>154470</v>
      </c>
      <c r="J22" s="9">
        <f>J18-J21</f>
        <v>-23142992</v>
      </c>
      <c r="K22" s="9"/>
      <c r="L22" s="9"/>
      <c r="N22" s="9">
        <f>N18-N21</f>
        <v>-19017234</v>
      </c>
    </row>
  </sheetData>
  <mergeCells count="3">
    <mergeCell ref="D4:N4"/>
    <mergeCell ref="D11:N11"/>
    <mergeCell ref="H7:J7"/>
  </mergeCells>
  <pageMargins left="0.8" right="0.8" top="0.48" bottom="0.5" header="0.5" footer="0.5"/>
  <pageSetup paperSize="9" firstPageNumber="11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124" max="16383" man="1"/>
    <brk id="125" max="16383" man="1"/>
    <brk id="126" max="16383" man="1"/>
    <brk id="1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FF"/>
  </sheetPr>
  <dimension ref="A1:R97"/>
  <sheetViews>
    <sheetView tabSelected="1" view="pageBreakPreview" zoomScaleNormal="90" zoomScaleSheetLayoutView="100" workbookViewId="0">
      <selection activeCell="A59" sqref="A59"/>
    </sheetView>
  </sheetViews>
  <sheetFormatPr defaultColWidth="9.28515625" defaultRowHeight="23.25" customHeight="1"/>
  <cols>
    <col min="1" max="1" width="62.7109375" style="3" customWidth="1"/>
    <col min="2" max="2" width="10" style="3" customWidth="1"/>
    <col min="3" max="3" width="1" style="3" customWidth="1"/>
    <col min="4" max="4" width="10.7109375" style="3" customWidth="1"/>
    <col min="5" max="5" width="1" style="3" customWidth="1"/>
    <col min="6" max="6" width="10.7109375" style="3" customWidth="1"/>
    <col min="7" max="7" width="1" style="3" customWidth="1"/>
    <col min="8" max="8" width="10.7109375" style="3" customWidth="1"/>
    <col min="9" max="9" width="1" style="3" customWidth="1"/>
    <col min="10" max="10" width="10.7109375" style="3" customWidth="1"/>
    <col min="11" max="11" width="15.42578125" style="9" customWidth="1"/>
    <col min="12" max="12" width="15.28515625" style="9" bestFit="1" customWidth="1"/>
    <col min="13" max="15" width="14.28515625" style="9" customWidth="1"/>
    <col min="16" max="16" width="14.42578125" style="3" bestFit="1" customWidth="1"/>
    <col min="17" max="17" width="2.28515625" style="3" customWidth="1"/>
    <col min="18" max="18" width="14.42578125" style="3" bestFit="1" customWidth="1"/>
    <col min="19" max="16384" width="9.28515625" style="3"/>
  </cols>
  <sheetData>
    <row r="1" spans="1:15" ht="21.75" customHeight="1">
      <c r="A1" s="17" t="s">
        <v>103</v>
      </c>
      <c r="B1" s="17"/>
      <c r="C1" s="17"/>
    </row>
    <row r="2" spans="1:15" ht="21.75" customHeight="1">
      <c r="A2" s="17" t="s">
        <v>96</v>
      </c>
      <c r="B2" s="17"/>
      <c r="C2" s="17"/>
      <c r="E2" s="5"/>
      <c r="G2" s="5"/>
    </row>
    <row r="3" spans="1:15" ht="21.75" customHeight="1">
      <c r="A3" s="21"/>
      <c r="B3" s="21"/>
      <c r="C3" s="21"/>
      <c r="D3" s="161" t="s">
        <v>32</v>
      </c>
      <c r="E3" s="161"/>
      <c r="F3" s="161"/>
      <c r="G3" s="161"/>
      <c r="H3" s="161" t="s">
        <v>46</v>
      </c>
      <c r="I3" s="161"/>
      <c r="J3" s="161"/>
    </row>
    <row r="4" spans="1:15" ht="21.75" customHeight="1">
      <c r="A4" s="21"/>
      <c r="B4" s="21"/>
      <c r="C4" s="21"/>
      <c r="D4" s="163" t="s">
        <v>88</v>
      </c>
      <c r="E4" s="163"/>
      <c r="F4" s="163"/>
      <c r="G4" s="163"/>
      <c r="H4" s="163" t="s">
        <v>88</v>
      </c>
      <c r="I4" s="163"/>
      <c r="J4" s="163"/>
      <c r="K4" s="3"/>
      <c r="L4" s="3"/>
      <c r="M4" s="3"/>
      <c r="N4" s="3"/>
      <c r="O4" s="3"/>
    </row>
    <row r="5" spans="1:15" ht="21.75" customHeight="1">
      <c r="A5" s="21"/>
      <c r="B5" s="21"/>
      <c r="C5" s="21"/>
      <c r="D5" s="163" t="s">
        <v>89</v>
      </c>
      <c r="E5" s="163"/>
      <c r="F5" s="163"/>
      <c r="H5" s="163" t="s">
        <v>89</v>
      </c>
      <c r="I5" s="163"/>
      <c r="J5" s="163"/>
      <c r="K5" s="3"/>
      <c r="L5" s="3"/>
      <c r="M5" s="3"/>
      <c r="N5" s="3"/>
      <c r="O5" s="3"/>
    </row>
    <row r="6" spans="1:15" ht="21.75" customHeight="1">
      <c r="A6" s="15"/>
      <c r="B6" s="150"/>
      <c r="C6" s="15"/>
      <c r="D6" s="22">
        <v>2563</v>
      </c>
      <c r="E6" s="22"/>
      <c r="F6" s="22">
        <v>2562</v>
      </c>
      <c r="G6" s="22"/>
      <c r="H6" s="22">
        <v>2563</v>
      </c>
      <c r="I6" s="22"/>
      <c r="J6" s="22">
        <v>2562</v>
      </c>
    </row>
    <row r="7" spans="1:15" ht="21.75" customHeight="1">
      <c r="D7" s="162" t="s">
        <v>90</v>
      </c>
      <c r="E7" s="162"/>
      <c r="F7" s="162"/>
      <c r="G7" s="162"/>
      <c r="H7" s="162"/>
      <c r="I7" s="162"/>
      <c r="J7" s="162"/>
    </row>
    <row r="8" spans="1:15" ht="21.75" customHeight="1">
      <c r="A8" s="39" t="s">
        <v>19</v>
      </c>
      <c r="B8" s="39"/>
      <c r="C8" s="39"/>
      <c r="D8" s="5"/>
      <c r="E8" s="6"/>
      <c r="F8" s="5"/>
      <c r="G8" s="6"/>
      <c r="H8" s="6"/>
      <c r="I8" s="6"/>
      <c r="J8" s="6"/>
    </row>
    <row r="9" spans="1:15" ht="21.75" customHeight="1">
      <c r="A9" s="3" t="s">
        <v>91</v>
      </c>
      <c r="D9" s="35">
        <f>PL!C56</f>
        <v>296869</v>
      </c>
      <c r="E9" s="29"/>
      <c r="F9" s="35">
        <f>PL!E34</f>
        <v>187971</v>
      </c>
      <c r="G9" s="29"/>
      <c r="H9" s="35">
        <f>PL!G54</f>
        <v>205091</v>
      </c>
      <c r="I9" s="29"/>
      <c r="J9" s="35">
        <f>PL!I34</f>
        <v>8109</v>
      </c>
      <c r="K9" s="89"/>
      <c r="N9" s="35"/>
    </row>
    <row r="10" spans="1:15" ht="21.75" customHeight="1">
      <c r="A10" s="40" t="s">
        <v>102</v>
      </c>
      <c r="B10" s="40"/>
      <c r="C10" s="40"/>
      <c r="D10" s="35"/>
      <c r="E10" s="29"/>
      <c r="F10" s="35"/>
      <c r="G10" s="29"/>
      <c r="H10" s="35"/>
      <c r="I10" s="29"/>
      <c r="J10" s="35"/>
      <c r="K10" s="89"/>
      <c r="N10" s="35"/>
    </row>
    <row r="11" spans="1:15" ht="21.75" customHeight="1">
      <c r="A11" s="41" t="s">
        <v>209</v>
      </c>
      <c r="B11" s="41"/>
      <c r="C11" s="41"/>
      <c r="D11" s="104">
        <f>-PL!C33</f>
        <v>61469</v>
      </c>
      <c r="E11" s="104"/>
      <c r="F11" s="104">
        <f>-PL!E33</f>
        <v>45614</v>
      </c>
      <c r="G11" s="104"/>
      <c r="H11" s="104">
        <f>-PL!G33</f>
        <v>51398</v>
      </c>
      <c r="I11" s="104"/>
      <c r="J11" s="104">
        <f>-PL!I33</f>
        <v>2238</v>
      </c>
      <c r="K11" s="89"/>
      <c r="N11" s="35"/>
    </row>
    <row r="12" spans="1:15" ht="21.75" customHeight="1">
      <c r="A12" s="41" t="s">
        <v>51</v>
      </c>
      <c r="B12" s="41"/>
      <c r="C12" s="41"/>
      <c r="D12" s="35">
        <f>58587+838</f>
        <v>59425</v>
      </c>
      <c r="E12" s="29"/>
      <c r="F12" s="35">
        <f>91850+837</f>
        <v>92687</v>
      </c>
      <c r="G12" s="29"/>
      <c r="H12" s="42">
        <f>47587+838</f>
        <v>48425</v>
      </c>
      <c r="I12" s="29"/>
      <c r="J12" s="42">
        <f>89105+837</f>
        <v>89942</v>
      </c>
      <c r="K12" s="89"/>
      <c r="N12" s="35"/>
    </row>
    <row r="13" spans="1:15" ht="21.75" customHeight="1">
      <c r="A13" s="41" t="s">
        <v>53</v>
      </c>
      <c r="B13" s="41"/>
      <c r="C13" s="41"/>
      <c r="D13" s="29">
        <f>2399+271</f>
        <v>2670</v>
      </c>
      <c r="E13" s="29"/>
      <c r="F13" s="29">
        <v>2947</v>
      </c>
      <c r="G13" s="29"/>
      <c r="H13" s="29">
        <v>711</v>
      </c>
      <c r="I13" s="29"/>
      <c r="J13" s="29">
        <v>547</v>
      </c>
      <c r="K13" s="89"/>
      <c r="N13" s="35"/>
    </row>
    <row r="14" spans="1:15" ht="21.6" hidden="1" customHeight="1">
      <c r="A14" s="41" t="s">
        <v>182</v>
      </c>
      <c r="B14" s="41"/>
      <c r="C14" s="41"/>
      <c r="D14" s="29"/>
      <c r="E14" s="29"/>
      <c r="F14" s="29">
        <v>0</v>
      </c>
      <c r="G14" s="29"/>
      <c r="H14" s="29"/>
      <c r="I14" s="29"/>
      <c r="J14" s="29">
        <v>0</v>
      </c>
      <c r="K14" s="89"/>
      <c r="N14" s="35"/>
    </row>
    <row r="15" spans="1:15" ht="21.75" customHeight="1">
      <c r="A15" s="41" t="s">
        <v>211</v>
      </c>
      <c r="B15" s="41"/>
      <c r="C15" s="41"/>
      <c r="D15" s="29">
        <v>205</v>
      </c>
      <c r="E15" s="29"/>
      <c r="F15" s="29">
        <v>0</v>
      </c>
      <c r="G15" s="29"/>
      <c r="H15" s="29">
        <v>82</v>
      </c>
      <c r="I15" s="29"/>
      <c r="J15" s="29">
        <v>0</v>
      </c>
      <c r="K15" s="89"/>
      <c r="N15" s="35"/>
    </row>
    <row r="16" spans="1:15" ht="21.75" customHeight="1">
      <c r="A16" s="41" t="s">
        <v>213</v>
      </c>
      <c r="B16" s="94"/>
      <c r="C16" s="41"/>
      <c r="D16" s="35">
        <v>91266</v>
      </c>
      <c r="E16" s="29"/>
      <c r="F16" s="35">
        <v>-432</v>
      </c>
      <c r="G16" s="29"/>
      <c r="H16" s="42">
        <v>93590</v>
      </c>
      <c r="I16" s="29"/>
      <c r="J16" s="42">
        <v>11171</v>
      </c>
      <c r="K16" s="89"/>
      <c r="N16" s="35"/>
    </row>
    <row r="17" spans="1:14" ht="21.6" customHeight="1">
      <c r="A17" s="41" t="s">
        <v>201</v>
      </c>
      <c r="B17" s="94"/>
      <c r="C17" s="41"/>
      <c r="D17" s="35">
        <f>PL!C21</f>
        <v>27058</v>
      </c>
      <c r="E17" s="29"/>
      <c r="F17" s="35">
        <f>PL!E21</f>
        <v>24724</v>
      </c>
      <c r="G17" s="29"/>
      <c r="H17" s="42">
        <v>0</v>
      </c>
      <c r="I17" s="29"/>
      <c r="J17" s="42">
        <v>0</v>
      </c>
      <c r="K17" s="89"/>
      <c r="N17" s="35"/>
    </row>
    <row r="18" spans="1:14" ht="21.75" customHeight="1">
      <c r="A18" s="41" t="s">
        <v>123</v>
      </c>
      <c r="B18" s="94"/>
      <c r="C18" s="41"/>
      <c r="D18" s="29">
        <v>0</v>
      </c>
      <c r="E18" s="29"/>
      <c r="F18" s="35">
        <v>2161</v>
      </c>
      <c r="G18" s="29"/>
      <c r="H18" s="29">
        <v>0</v>
      </c>
      <c r="I18" s="29"/>
      <c r="J18" s="42">
        <v>0</v>
      </c>
      <c r="K18" s="89"/>
      <c r="N18" s="35"/>
    </row>
    <row r="19" spans="1:14" ht="21.75" customHeight="1">
      <c r="A19" s="41" t="s">
        <v>161</v>
      </c>
      <c r="B19" s="41"/>
      <c r="C19" s="41"/>
      <c r="D19" s="35">
        <v>-315</v>
      </c>
      <c r="E19" s="29"/>
      <c r="F19" s="35">
        <v>-1684</v>
      </c>
      <c r="G19" s="29"/>
      <c r="H19" s="35">
        <v>-315</v>
      </c>
      <c r="I19" s="29"/>
      <c r="J19" s="35">
        <v>-684</v>
      </c>
      <c r="L19" s="89"/>
      <c r="N19" s="35"/>
    </row>
    <row r="20" spans="1:14" ht="21.4" customHeight="1">
      <c r="A20" s="41" t="s">
        <v>78</v>
      </c>
      <c r="B20" s="41"/>
      <c r="C20" s="41"/>
      <c r="D20" s="29">
        <v>735</v>
      </c>
      <c r="E20" s="29"/>
      <c r="F20" s="29">
        <v>135</v>
      </c>
      <c r="G20" s="29"/>
      <c r="H20" s="29">
        <v>659</v>
      </c>
      <c r="I20" s="29"/>
      <c r="J20" s="29">
        <v>61</v>
      </c>
      <c r="K20" s="89"/>
      <c r="N20" s="35"/>
    </row>
    <row r="21" spans="1:14" ht="21.75" customHeight="1">
      <c r="A21" s="41" t="s">
        <v>168</v>
      </c>
      <c r="B21" s="41"/>
      <c r="C21" s="41"/>
      <c r="D21" s="29">
        <v>-57243</v>
      </c>
      <c r="E21" s="29"/>
      <c r="F21" s="29">
        <f>-59068+123</f>
        <v>-58945</v>
      </c>
      <c r="G21" s="29"/>
      <c r="H21" s="29">
        <v>-38560</v>
      </c>
      <c r="I21" s="29"/>
      <c r="J21" s="29">
        <f>-38247+122</f>
        <v>-38125</v>
      </c>
      <c r="K21" s="35"/>
      <c r="L21" s="35"/>
      <c r="N21" s="35"/>
    </row>
    <row r="22" spans="1:14" ht="21.75" customHeight="1">
      <c r="A22" s="1" t="s">
        <v>214</v>
      </c>
      <c r="B22" s="41"/>
      <c r="C22" s="41"/>
      <c r="D22" s="42">
        <v>796</v>
      </c>
      <c r="E22" s="29"/>
      <c r="F22" s="42">
        <v>-17497</v>
      </c>
      <c r="G22" s="29"/>
      <c r="H22" s="29">
        <v>0</v>
      </c>
      <c r="I22" s="29"/>
      <c r="J22" s="42">
        <v>0</v>
      </c>
      <c r="K22" s="89"/>
      <c r="N22" s="35"/>
    </row>
    <row r="23" spans="1:14" ht="21.75" customHeight="1">
      <c r="A23" s="1" t="s">
        <v>215</v>
      </c>
      <c r="B23" s="93"/>
      <c r="C23" s="41"/>
      <c r="D23" s="35">
        <v>-201575</v>
      </c>
      <c r="E23" s="29"/>
      <c r="F23" s="35">
        <v>3237</v>
      </c>
      <c r="G23" s="29"/>
      <c r="H23" s="29">
        <v>0</v>
      </c>
      <c r="I23" s="29"/>
      <c r="J23" s="42">
        <v>0</v>
      </c>
      <c r="K23" s="89"/>
      <c r="N23" s="35"/>
    </row>
    <row r="24" spans="1:14" ht="21.75" customHeight="1">
      <c r="A24" s="1" t="s">
        <v>163</v>
      </c>
      <c r="B24" s="93"/>
      <c r="C24" s="41"/>
      <c r="D24" s="35">
        <v>0</v>
      </c>
      <c r="E24" s="29"/>
      <c r="F24" s="35">
        <v>0</v>
      </c>
      <c r="G24" s="29"/>
      <c r="H24" s="42">
        <v>-308242</v>
      </c>
      <c r="I24" s="29"/>
      <c r="J24" s="42">
        <v>0</v>
      </c>
      <c r="K24" s="89"/>
      <c r="N24" s="35"/>
    </row>
    <row r="25" spans="1:14" ht="21.75" customHeight="1">
      <c r="A25" s="41" t="s">
        <v>104</v>
      </c>
      <c r="B25" s="93"/>
      <c r="C25" s="41"/>
      <c r="D25" s="50">
        <v>-25675</v>
      </c>
      <c r="E25" s="29"/>
      <c r="F25" s="50">
        <v>-75226</v>
      </c>
      <c r="G25" s="29"/>
      <c r="H25" s="52">
        <v>-54540</v>
      </c>
      <c r="I25" s="29"/>
      <c r="J25" s="52">
        <v>-80913</v>
      </c>
      <c r="K25" s="89"/>
      <c r="N25" s="35"/>
    </row>
    <row r="26" spans="1:14" ht="21.6" customHeight="1">
      <c r="A26" s="44"/>
      <c r="B26" s="44"/>
      <c r="C26" s="44"/>
      <c r="D26" s="29">
        <f>SUM(D9:D25)</f>
        <v>255685</v>
      </c>
      <c r="E26" s="104"/>
      <c r="F26" s="29">
        <f>SUM(F9:F25)</f>
        <v>205692</v>
      </c>
      <c r="G26" s="104"/>
      <c r="H26" s="29">
        <f>SUM(H9:H25)</f>
        <v>-1701</v>
      </c>
      <c r="I26" s="104"/>
      <c r="J26" s="29">
        <f>SUM(J9:J25)</f>
        <v>-7654</v>
      </c>
      <c r="K26" s="89"/>
      <c r="L26" s="35"/>
      <c r="N26" s="35"/>
    </row>
    <row r="27" spans="1:14" ht="21.6" customHeight="1">
      <c r="A27" s="40" t="s">
        <v>45</v>
      </c>
      <c r="B27" s="40"/>
      <c r="C27" s="40"/>
      <c r="D27" s="29"/>
      <c r="E27" s="29"/>
      <c r="F27" s="29"/>
      <c r="G27" s="29"/>
      <c r="H27" s="29"/>
      <c r="I27" s="29"/>
      <c r="J27" s="29"/>
      <c r="N27" s="35"/>
    </row>
    <row r="28" spans="1:14" ht="21.6" customHeight="1">
      <c r="A28" s="41" t="s">
        <v>150</v>
      </c>
      <c r="B28" s="41"/>
      <c r="C28" s="41"/>
      <c r="D28" s="42">
        <v>236064</v>
      </c>
      <c r="E28" s="29"/>
      <c r="F28" s="42">
        <f>33282+2-12909+6644-11527-2</f>
        <v>15490</v>
      </c>
      <c r="G28" s="29"/>
      <c r="H28" s="35">
        <v>278308</v>
      </c>
      <c r="I28" s="29"/>
      <c r="J28" s="35">
        <f>-20746+12423-3613</f>
        <v>-11936</v>
      </c>
      <c r="K28" s="35"/>
      <c r="L28" s="35"/>
      <c r="M28" s="35"/>
      <c r="N28" s="35"/>
    </row>
    <row r="29" spans="1:14" ht="21.75" customHeight="1">
      <c r="A29" s="41" t="s">
        <v>54</v>
      </c>
      <c r="B29" s="41"/>
      <c r="C29" s="41"/>
      <c r="D29" s="35">
        <v>-4006</v>
      </c>
      <c r="E29" s="29"/>
      <c r="F29" s="35">
        <f>16613-F17</f>
        <v>-8111</v>
      </c>
      <c r="G29" s="35"/>
      <c r="H29" s="29">
        <v>0</v>
      </c>
      <c r="I29" s="35"/>
      <c r="J29" s="35">
        <v>0</v>
      </c>
      <c r="L29" s="35"/>
      <c r="N29" s="35"/>
    </row>
    <row r="30" spans="1:14" ht="21.75" customHeight="1">
      <c r="A30" s="41" t="s">
        <v>4</v>
      </c>
      <c r="B30" s="41"/>
      <c r="C30" s="41"/>
      <c r="D30" s="35">
        <v>12501</v>
      </c>
      <c r="E30" s="29"/>
      <c r="F30" s="35">
        <f>-1391-6644+11527</f>
        <v>3492</v>
      </c>
      <c r="G30" s="29"/>
      <c r="H30" s="35">
        <v>13270</v>
      </c>
      <c r="I30" s="29"/>
      <c r="J30" s="35">
        <f>7480-12423+3613</f>
        <v>-1330</v>
      </c>
      <c r="K30" s="35"/>
      <c r="L30" s="35"/>
      <c r="N30" s="35"/>
    </row>
    <row r="31" spans="1:14" ht="21.75" customHeight="1">
      <c r="A31" s="41" t="s">
        <v>20</v>
      </c>
      <c r="B31" s="41"/>
      <c r="C31" s="41"/>
      <c r="D31" s="35">
        <v>-51239</v>
      </c>
      <c r="E31" s="29"/>
      <c r="F31" s="35">
        <v>9799</v>
      </c>
      <c r="G31" s="29"/>
      <c r="H31" s="29">
        <v>1</v>
      </c>
      <c r="I31" s="29"/>
      <c r="J31" s="35">
        <v>5888</v>
      </c>
      <c r="K31" s="35"/>
      <c r="L31" s="35"/>
      <c r="N31" s="35"/>
    </row>
    <row r="32" spans="1:14" ht="21.75" customHeight="1">
      <c r="A32" s="3" t="s">
        <v>151</v>
      </c>
      <c r="D32" s="42">
        <v>-8368</v>
      </c>
      <c r="E32" s="29"/>
      <c r="F32" s="42">
        <f>3135-2785+2</f>
        <v>352</v>
      </c>
      <c r="G32" s="29"/>
      <c r="H32" s="42">
        <v>-13913</v>
      </c>
      <c r="I32" s="29"/>
      <c r="J32" s="42">
        <f>-4459-122</f>
        <v>-4581</v>
      </c>
      <c r="K32" s="35"/>
      <c r="L32" s="35"/>
      <c r="N32" s="35"/>
    </row>
    <row r="33" spans="1:18" ht="21.75" customHeight="1">
      <c r="A33" s="41" t="s">
        <v>124</v>
      </c>
      <c r="B33" s="41"/>
      <c r="C33" s="41"/>
      <c r="D33" s="35">
        <v>-8424</v>
      </c>
      <c r="E33" s="29"/>
      <c r="F33" s="35">
        <v>255</v>
      </c>
      <c r="G33" s="29"/>
      <c r="H33" s="29">
        <v>474</v>
      </c>
      <c r="I33" s="29"/>
      <c r="J33" s="29">
        <v>-8</v>
      </c>
      <c r="K33" s="3"/>
      <c r="L33" s="35"/>
      <c r="M33" s="6"/>
      <c r="N33" s="35"/>
      <c r="O33" s="6"/>
      <c r="P33" s="6"/>
    </row>
    <row r="34" spans="1:18" ht="21.75" customHeight="1">
      <c r="A34" s="41" t="s">
        <v>125</v>
      </c>
      <c r="B34" s="41"/>
      <c r="C34" s="41"/>
      <c r="D34" s="35">
        <v>-1078</v>
      </c>
      <c r="E34" s="29"/>
      <c r="F34" s="35">
        <f>1185-123</f>
        <v>1062</v>
      </c>
      <c r="G34" s="29"/>
      <c r="H34" s="29">
        <v>28</v>
      </c>
      <c r="I34" s="29"/>
      <c r="J34" s="29">
        <v>0</v>
      </c>
      <c r="K34" s="35"/>
      <c r="L34" s="35"/>
      <c r="M34" s="6"/>
      <c r="N34" s="35"/>
      <c r="O34" s="6"/>
      <c r="P34" s="6"/>
    </row>
    <row r="35" spans="1:18" ht="21.75" customHeight="1">
      <c r="A35" s="41" t="s">
        <v>143</v>
      </c>
      <c r="B35" s="41"/>
      <c r="C35" s="41"/>
      <c r="D35" s="35">
        <v>-12530</v>
      </c>
      <c r="E35" s="29"/>
      <c r="F35" s="35">
        <v>-11677</v>
      </c>
      <c r="G35" s="29"/>
      <c r="H35" s="29">
        <v>0</v>
      </c>
      <c r="I35" s="29"/>
      <c r="J35" s="29">
        <v>0</v>
      </c>
      <c r="K35" s="3"/>
      <c r="L35" s="35"/>
      <c r="M35" s="35"/>
      <c r="N35" s="35"/>
      <c r="O35" s="6"/>
      <c r="P35" s="35"/>
    </row>
    <row r="36" spans="1:18" ht="21.75" customHeight="1">
      <c r="A36" s="41" t="s">
        <v>175</v>
      </c>
      <c r="B36" s="41"/>
      <c r="C36" s="41"/>
      <c r="D36" s="35">
        <v>-9284</v>
      </c>
      <c r="E36" s="29"/>
      <c r="F36" s="35">
        <v>7130</v>
      </c>
      <c r="G36" s="29"/>
      <c r="H36" s="35">
        <v>-2378</v>
      </c>
      <c r="I36" s="29"/>
      <c r="J36" s="35">
        <v>0</v>
      </c>
      <c r="L36" s="35"/>
      <c r="N36" s="35"/>
    </row>
    <row r="37" spans="1:18" s="2" customFormat="1" ht="21.75" customHeight="1">
      <c r="A37" s="46" t="s">
        <v>21</v>
      </c>
      <c r="B37" s="46"/>
      <c r="C37" s="46"/>
      <c r="D37" s="35">
        <v>-20715</v>
      </c>
      <c r="E37" s="104"/>
      <c r="F37" s="35">
        <v>3721</v>
      </c>
      <c r="G37" s="104"/>
      <c r="H37" s="37">
        <f>-673-3728-1</f>
        <v>-4402</v>
      </c>
      <c r="I37" s="104"/>
      <c r="J37" s="37">
        <v>5542</v>
      </c>
      <c r="K37" s="37"/>
      <c r="L37" s="35"/>
      <c r="N37" s="35"/>
      <c r="O37" s="43"/>
      <c r="P37" s="3"/>
      <c r="Q37" s="3"/>
      <c r="R37" s="3"/>
    </row>
    <row r="38" spans="1:18" s="2" customFormat="1" ht="21.75" customHeight="1">
      <c r="A38" s="46" t="s">
        <v>137</v>
      </c>
      <c r="B38" s="46"/>
      <c r="C38" s="46"/>
      <c r="D38" s="35">
        <v>6723</v>
      </c>
      <c r="E38" s="104"/>
      <c r="F38" s="35">
        <v>-3970</v>
      </c>
      <c r="G38" s="104"/>
      <c r="H38" s="50">
        <v>-315</v>
      </c>
      <c r="I38" s="104"/>
      <c r="J38" s="50">
        <v>-549</v>
      </c>
      <c r="O38" s="43"/>
      <c r="P38" s="3"/>
      <c r="Q38" s="3"/>
      <c r="R38" s="3"/>
    </row>
    <row r="39" spans="1:18" ht="21.75" customHeight="1">
      <c r="A39" s="41" t="s">
        <v>157</v>
      </c>
      <c r="B39" s="41"/>
      <c r="C39" s="41"/>
      <c r="D39" s="47">
        <f>SUM(D26:D38)</f>
        <v>395329</v>
      </c>
      <c r="E39" s="104"/>
      <c r="F39" s="47">
        <f>SUM(F26:F38)</f>
        <v>223235</v>
      </c>
      <c r="G39" s="104"/>
      <c r="H39" s="35">
        <f>SUM(H26:H38)</f>
        <v>269372</v>
      </c>
      <c r="I39" s="104"/>
      <c r="J39" s="35">
        <f>SUM(J26:J38)</f>
        <v>-14628</v>
      </c>
      <c r="L39" s="38"/>
      <c r="N39" s="38"/>
    </row>
    <row r="40" spans="1:18" ht="21.75" customHeight="1">
      <c r="A40" s="41" t="s">
        <v>79</v>
      </c>
      <c r="B40" s="41"/>
      <c r="C40" s="41"/>
      <c r="D40" s="35">
        <v>-44698</v>
      </c>
      <c r="E40" s="29"/>
      <c r="F40" s="35">
        <v>-13070</v>
      </c>
      <c r="G40" s="29"/>
      <c r="H40" s="35">
        <v>-34854</v>
      </c>
      <c r="I40" s="29"/>
      <c r="J40" s="35">
        <f>-3614+1</f>
        <v>-3613</v>
      </c>
      <c r="N40" s="35"/>
    </row>
    <row r="41" spans="1:18" ht="21.75" customHeight="1">
      <c r="A41" s="44" t="s">
        <v>158</v>
      </c>
      <c r="B41" s="44"/>
      <c r="C41" s="44"/>
      <c r="D41" s="118">
        <f>SUM(D39:D40)</f>
        <v>350631</v>
      </c>
      <c r="E41" s="29"/>
      <c r="F41" s="118">
        <f>SUM(F39:F40)</f>
        <v>210165</v>
      </c>
      <c r="G41" s="29"/>
      <c r="H41" s="118">
        <f>SUM(H39:H40)</f>
        <v>234518</v>
      </c>
      <c r="I41" s="29"/>
      <c r="J41" s="118">
        <f>SUM(J39:J40)</f>
        <v>-18241</v>
      </c>
      <c r="N41" s="35"/>
    </row>
    <row r="42" spans="1:18" ht="21.75" customHeight="1">
      <c r="A42" s="17" t="s">
        <v>103</v>
      </c>
      <c r="B42" s="17"/>
      <c r="C42" s="17"/>
    </row>
    <row r="43" spans="1:18" ht="21.75" customHeight="1">
      <c r="A43" s="17" t="s">
        <v>96</v>
      </c>
      <c r="B43" s="17"/>
      <c r="C43" s="17"/>
      <c r="E43" s="5"/>
      <c r="G43" s="5"/>
    </row>
    <row r="44" spans="1:18" ht="21.75" customHeight="1">
      <c r="A44" s="4"/>
      <c r="B44" s="4"/>
      <c r="C44" s="4"/>
      <c r="D44" s="4"/>
      <c r="E44" s="4"/>
      <c r="F44" s="4"/>
      <c r="G44" s="4"/>
    </row>
    <row r="45" spans="1:18" ht="21.75" customHeight="1">
      <c r="A45" s="21"/>
      <c r="B45" s="21"/>
      <c r="C45" s="21"/>
      <c r="D45" s="161" t="s">
        <v>32</v>
      </c>
      <c r="E45" s="161"/>
      <c r="F45" s="161"/>
      <c r="G45" s="161"/>
      <c r="H45" s="161" t="s">
        <v>46</v>
      </c>
      <c r="I45" s="161"/>
      <c r="J45" s="161"/>
    </row>
    <row r="46" spans="1:18" ht="21.75" customHeight="1">
      <c r="A46" s="21"/>
      <c r="B46" s="21"/>
      <c r="C46" s="21"/>
      <c r="D46" s="163" t="s">
        <v>88</v>
      </c>
      <c r="E46" s="163"/>
      <c r="F46" s="163"/>
      <c r="G46" s="163"/>
      <c r="H46" s="163" t="s">
        <v>88</v>
      </c>
      <c r="I46" s="163"/>
      <c r="J46" s="163"/>
      <c r="K46" s="3"/>
      <c r="L46" s="3"/>
      <c r="M46" s="3"/>
      <c r="N46" s="3"/>
      <c r="O46" s="3"/>
    </row>
    <row r="47" spans="1:18" ht="21.75" customHeight="1">
      <c r="A47" s="21"/>
      <c r="B47" s="21"/>
      <c r="C47" s="21"/>
      <c r="D47" s="163" t="s">
        <v>89</v>
      </c>
      <c r="E47" s="163"/>
      <c r="F47" s="163"/>
      <c r="G47" s="163"/>
      <c r="H47" s="163" t="s">
        <v>89</v>
      </c>
      <c r="I47" s="163"/>
      <c r="J47" s="163"/>
      <c r="K47" s="3"/>
      <c r="L47" s="3"/>
      <c r="M47" s="3"/>
      <c r="N47" s="3"/>
      <c r="O47" s="3"/>
    </row>
    <row r="48" spans="1:18" ht="21.75" customHeight="1">
      <c r="A48" s="15"/>
      <c r="B48" s="150"/>
      <c r="C48" s="15"/>
      <c r="D48" s="22">
        <v>2563</v>
      </c>
      <c r="E48" s="22"/>
      <c r="F48" s="22">
        <v>2562</v>
      </c>
      <c r="G48" s="22"/>
      <c r="H48" s="22">
        <v>2563</v>
      </c>
      <c r="I48" s="22"/>
      <c r="J48" s="22">
        <v>2562</v>
      </c>
    </row>
    <row r="49" spans="1:13" ht="21.75" customHeight="1">
      <c r="D49" s="162" t="s">
        <v>90</v>
      </c>
      <c r="E49" s="162"/>
      <c r="F49" s="162"/>
      <c r="G49" s="162"/>
      <c r="H49" s="162"/>
      <c r="I49" s="162"/>
      <c r="J49" s="162"/>
    </row>
    <row r="50" spans="1:13" ht="21.75" customHeight="1">
      <c r="A50" s="39" t="s">
        <v>22</v>
      </c>
      <c r="B50" s="39"/>
      <c r="C50" s="39"/>
      <c r="D50" s="5"/>
      <c r="E50" s="6"/>
      <c r="F50" s="5"/>
      <c r="G50" s="6"/>
      <c r="H50" s="6"/>
      <c r="I50" s="6"/>
      <c r="J50" s="6"/>
    </row>
    <row r="51" spans="1:13" ht="21.75" customHeight="1">
      <c r="A51" s="41" t="s">
        <v>97</v>
      </c>
      <c r="B51" s="41"/>
      <c r="C51" s="41"/>
      <c r="D51" s="35">
        <v>-2430</v>
      </c>
      <c r="E51" s="29"/>
      <c r="F51" s="35">
        <v>-803</v>
      </c>
      <c r="G51" s="29"/>
      <c r="H51" s="35">
        <v>-2430</v>
      </c>
      <c r="I51" s="29"/>
      <c r="J51" s="35">
        <v>-803</v>
      </c>
    </row>
    <row r="52" spans="1:13" ht="21.75" customHeight="1">
      <c r="A52" s="41" t="s">
        <v>85</v>
      </c>
      <c r="B52" s="41"/>
      <c r="C52" s="41"/>
      <c r="D52" s="35">
        <v>315</v>
      </c>
      <c r="E52" s="29"/>
      <c r="F52" s="35">
        <v>2034</v>
      </c>
      <c r="G52" s="29"/>
      <c r="H52" s="29">
        <v>315</v>
      </c>
      <c r="I52" s="29"/>
      <c r="J52" s="35">
        <v>1034</v>
      </c>
    </row>
    <row r="53" spans="1:13" ht="21.75" customHeight="1">
      <c r="A53" s="41" t="s">
        <v>128</v>
      </c>
      <c r="B53" s="41"/>
      <c r="C53" s="41"/>
      <c r="D53" s="35">
        <v>-2012</v>
      </c>
      <c r="E53" s="29"/>
      <c r="F53" s="35">
        <v>-764</v>
      </c>
      <c r="G53" s="29"/>
      <c r="H53" s="35">
        <v>-1501</v>
      </c>
      <c r="I53" s="29"/>
      <c r="J53" s="35">
        <v>0</v>
      </c>
    </row>
    <row r="54" spans="1:13" ht="21.75" customHeight="1">
      <c r="A54" s="41" t="s">
        <v>162</v>
      </c>
      <c r="B54" s="41"/>
      <c r="C54" s="41"/>
      <c r="D54" s="35">
        <v>1061</v>
      </c>
      <c r="E54" s="29"/>
      <c r="F54" s="35">
        <v>108</v>
      </c>
      <c r="G54" s="29"/>
      <c r="H54" s="35">
        <v>1061</v>
      </c>
      <c r="I54" s="29"/>
      <c r="J54" s="35">
        <v>0</v>
      </c>
    </row>
    <row r="55" spans="1:13" ht="21.75" customHeight="1">
      <c r="A55" s="3" t="s">
        <v>207</v>
      </c>
      <c r="B55" s="150"/>
      <c r="D55" s="35">
        <v>0</v>
      </c>
      <c r="E55" s="42"/>
      <c r="F55" s="35">
        <v>0</v>
      </c>
      <c r="G55" s="104"/>
      <c r="H55" s="35">
        <v>91</v>
      </c>
      <c r="I55" s="29"/>
      <c r="J55" s="35">
        <v>0</v>
      </c>
      <c r="K55" s="35"/>
      <c r="M55" s="35"/>
    </row>
    <row r="56" spans="1:13" ht="21.75" customHeight="1">
      <c r="A56" s="3" t="s">
        <v>205</v>
      </c>
      <c r="B56" s="150"/>
      <c r="D56" s="35">
        <v>0</v>
      </c>
      <c r="E56" s="42"/>
      <c r="F56" s="35">
        <v>0</v>
      </c>
      <c r="G56" s="104"/>
      <c r="H56" s="35">
        <f>-17146-H55</f>
        <v>-17237</v>
      </c>
      <c r="I56" s="29"/>
      <c r="J56" s="35">
        <v>-15000</v>
      </c>
      <c r="K56" s="35"/>
      <c r="M56" s="35"/>
    </row>
    <row r="57" spans="1:13" ht="21.75" customHeight="1">
      <c r="A57" s="3" t="s">
        <v>206</v>
      </c>
      <c r="B57" s="150"/>
      <c r="D57" s="35">
        <v>0</v>
      </c>
      <c r="E57" s="42"/>
      <c r="F57" s="35">
        <v>0</v>
      </c>
      <c r="G57" s="104"/>
      <c r="H57" s="35">
        <v>-2</v>
      </c>
      <c r="I57" s="29"/>
      <c r="J57" s="35">
        <v>-132000</v>
      </c>
      <c r="K57" s="35"/>
      <c r="M57" s="35"/>
    </row>
    <row r="58" spans="1:13" ht="21.75" customHeight="1">
      <c r="A58" s="3" t="s">
        <v>219</v>
      </c>
      <c r="B58" s="150"/>
      <c r="D58" s="35">
        <v>-61000</v>
      </c>
      <c r="E58" s="42"/>
      <c r="F58" s="35">
        <v>0</v>
      </c>
      <c r="G58" s="104"/>
      <c r="H58" s="35">
        <v>-61000</v>
      </c>
      <c r="I58" s="29"/>
      <c r="J58" s="35">
        <v>0</v>
      </c>
      <c r="K58" s="35"/>
      <c r="M58" s="35"/>
    </row>
    <row r="59" spans="1:13" ht="21.75" customHeight="1">
      <c r="A59" s="3" t="s">
        <v>127</v>
      </c>
      <c r="D59" s="42">
        <v>683684</v>
      </c>
      <c r="E59" s="104"/>
      <c r="F59" s="42">
        <v>0</v>
      </c>
      <c r="G59" s="104"/>
      <c r="H59" s="42">
        <v>683684</v>
      </c>
      <c r="I59" s="29"/>
      <c r="J59" s="42">
        <v>0</v>
      </c>
      <c r="K59" s="35"/>
      <c r="M59" s="35"/>
    </row>
    <row r="60" spans="1:13" ht="21.75" customHeight="1">
      <c r="A60" s="3" t="s">
        <v>163</v>
      </c>
      <c r="D60" s="42">
        <v>308242</v>
      </c>
      <c r="E60" s="104"/>
      <c r="F60" s="42">
        <v>12909</v>
      </c>
      <c r="G60" s="104"/>
      <c r="H60" s="42">
        <v>308242</v>
      </c>
      <c r="I60" s="29"/>
      <c r="J60" s="42">
        <v>0</v>
      </c>
      <c r="K60" s="35"/>
      <c r="M60" s="35"/>
    </row>
    <row r="61" spans="1:13" ht="21.75" customHeight="1">
      <c r="A61" s="3" t="s">
        <v>178</v>
      </c>
      <c r="D61" s="42">
        <v>16099</v>
      </c>
      <c r="E61" s="104"/>
      <c r="F61" s="42">
        <v>0</v>
      </c>
      <c r="G61" s="104"/>
      <c r="H61" s="42">
        <v>11177</v>
      </c>
      <c r="I61" s="29"/>
      <c r="J61" s="42">
        <v>133980</v>
      </c>
      <c r="K61" s="35"/>
      <c r="M61" s="35"/>
    </row>
    <row r="62" spans="1:13" ht="21.75" customHeight="1">
      <c r="A62" s="44" t="s">
        <v>80</v>
      </c>
      <c r="B62" s="44"/>
      <c r="C62" s="44"/>
      <c r="D62" s="118">
        <f>SUM(D51:D61)</f>
        <v>943959</v>
      </c>
      <c r="E62" s="29"/>
      <c r="F62" s="118">
        <f>SUM(F51:F61)</f>
        <v>13484</v>
      </c>
      <c r="G62" s="29"/>
      <c r="H62" s="118">
        <f>SUM(H51:H61)</f>
        <v>922400</v>
      </c>
      <c r="I62" s="29"/>
      <c r="J62" s="118">
        <f>SUM(J51:J61)</f>
        <v>-12789</v>
      </c>
      <c r="K62" s="91"/>
      <c r="M62" s="35"/>
    </row>
    <row r="63" spans="1:13" ht="21.75" customHeight="1">
      <c r="A63" s="44"/>
      <c r="B63" s="44"/>
      <c r="C63" s="44"/>
      <c r="D63" s="35"/>
      <c r="E63" s="29"/>
      <c r="F63" s="35"/>
      <c r="G63" s="29"/>
      <c r="H63" s="29"/>
      <c r="I63" s="29"/>
      <c r="J63" s="29"/>
    </row>
    <row r="64" spans="1:13" ht="21.75" customHeight="1">
      <c r="A64" s="39" t="s">
        <v>23</v>
      </c>
      <c r="B64" s="39"/>
      <c r="C64" s="39"/>
      <c r="D64" s="35"/>
      <c r="E64" s="29"/>
      <c r="F64" s="35"/>
      <c r="G64" s="29"/>
      <c r="H64" s="29"/>
      <c r="I64" s="29"/>
      <c r="J64" s="29"/>
    </row>
    <row r="65" spans="1:13" ht="21.75" customHeight="1">
      <c r="A65" s="41" t="s">
        <v>129</v>
      </c>
      <c r="B65" s="150"/>
      <c r="C65" s="41"/>
      <c r="D65" s="71">
        <v>40000</v>
      </c>
      <c r="E65" s="35"/>
      <c r="F65" s="71">
        <v>0</v>
      </c>
      <c r="G65" s="35"/>
      <c r="H65" s="71">
        <v>322943</v>
      </c>
      <c r="I65" s="35"/>
      <c r="J65" s="71">
        <v>70000</v>
      </c>
      <c r="K65" s="35"/>
      <c r="M65" s="35"/>
    </row>
    <row r="66" spans="1:13" ht="21.75" customHeight="1">
      <c r="A66" s="114" t="s">
        <v>130</v>
      </c>
      <c r="B66" s="150"/>
      <c r="C66" s="114"/>
      <c r="D66" s="71">
        <v>-210000</v>
      </c>
      <c r="E66" s="35"/>
      <c r="F66" s="71">
        <v>0</v>
      </c>
      <c r="G66" s="35"/>
      <c r="H66" s="71">
        <v>-362611</v>
      </c>
      <c r="I66" s="35"/>
      <c r="J66" s="71">
        <v>0</v>
      </c>
      <c r="K66" s="35"/>
      <c r="M66" s="35"/>
    </row>
    <row r="67" spans="1:13" ht="21.75" customHeight="1">
      <c r="A67" s="3" t="s">
        <v>166</v>
      </c>
      <c r="D67" s="42">
        <v>1560000</v>
      </c>
      <c r="E67" s="35"/>
      <c r="F67" s="42">
        <v>30000</v>
      </c>
      <c r="G67" s="35"/>
      <c r="H67" s="42">
        <v>1560000</v>
      </c>
      <c r="I67" s="35"/>
      <c r="J67" s="42">
        <v>30000</v>
      </c>
      <c r="K67" s="91"/>
      <c r="M67" s="35"/>
    </row>
    <row r="68" spans="1:13" ht="21.75" customHeight="1">
      <c r="A68" s="3" t="s">
        <v>190</v>
      </c>
      <c r="D68" s="42">
        <v>-2630000</v>
      </c>
      <c r="E68" s="35"/>
      <c r="F68" s="29">
        <v>0</v>
      </c>
      <c r="G68" s="35"/>
      <c r="H68" s="42">
        <v>-2630000</v>
      </c>
      <c r="I68" s="35"/>
      <c r="J68" s="29">
        <v>0</v>
      </c>
      <c r="K68" s="91"/>
      <c r="M68" s="35"/>
    </row>
    <row r="69" spans="1:13" ht="21.75" hidden="1" customHeight="1">
      <c r="A69" s="3" t="s">
        <v>146</v>
      </c>
      <c r="D69" s="71">
        <v>0</v>
      </c>
      <c r="E69" s="35"/>
      <c r="F69" s="71">
        <v>0</v>
      </c>
      <c r="G69" s="35"/>
      <c r="H69" s="71">
        <v>0</v>
      </c>
      <c r="I69" s="35"/>
      <c r="J69" s="71">
        <v>0</v>
      </c>
      <c r="K69" s="89"/>
      <c r="M69" s="35"/>
    </row>
    <row r="70" spans="1:13" ht="21.75" customHeight="1">
      <c r="A70" s="3" t="s">
        <v>147</v>
      </c>
      <c r="D70" s="42">
        <v>0</v>
      </c>
      <c r="E70" s="35"/>
      <c r="F70" s="42">
        <v>-132524</v>
      </c>
      <c r="G70" s="35"/>
      <c r="H70" s="42">
        <v>0</v>
      </c>
      <c r="I70" s="35"/>
      <c r="J70" s="42">
        <v>0</v>
      </c>
      <c r="K70" s="89"/>
      <c r="M70" s="35"/>
    </row>
    <row r="71" spans="1:13" ht="23.25" customHeight="1">
      <c r="A71" s="3" t="s">
        <v>179</v>
      </c>
      <c r="D71" s="35">
        <v>-1095</v>
      </c>
      <c r="E71" s="35"/>
      <c r="F71" s="42">
        <v>0</v>
      </c>
      <c r="G71" s="35"/>
      <c r="H71" s="35">
        <v>-379</v>
      </c>
      <c r="I71" s="35"/>
      <c r="J71" s="42">
        <v>0</v>
      </c>
    </row>
    <row r="72" spans="1:13" ht="21.75" customHeight="1">
      <c r="A72" s="41" t="s">
        <v>81</v>
      </c>
      <c r="B72" s="41"/>
      <c r="C72" s="41"/>
      <c r="D72" s="35">
        <v>-74023</v>
      </c>
      <c r="E72" s="35"/>
      <c r="F72" s="35">
        <v>-123443</v>
      </c>
      <c r="G72" s="35"/>
      <c r="H72" s="35">
        <v>-62614</v>
      </c>
      <c r="I72" s="35"/>
      <c r="J72" s="35">
        <v>-64339</v>
      </c>
      <c r="K72" s="89"/>
      <c r="M72" s="35"/>
    </row>
    <row r="73" spans="1:13" ht="21.75" customHeight="1">
      <c r="A73" s="44" t="s">
        <v>159</v>
      </c>
      <c r="B73" s="44"/>
      <c r="C73" s="44"/>
      <c r="D73" s="118">
        <f>SUM(D65:D72)</f>
        <v>-1315118</v>
      </c>
      <c r="E73" s="29"/>
      <c r="F73" s="118">
        <f>SUM(F65:F72)</f>
        <v>-225967</v>
      </c>
      <c r="G73" s="29"/>
      <c r="H73" s="118">
        <f>SUM(H65:H72)</f>
        <v>-1172661</v>
      </c>
      <c r="I73" s="29"/>
      <c r="J73" s="118">
        <f>SUM(J65:J72)</f>
        <v>35661</v>
      </c>
      <c r="M73" s="35"/>
    </row>
    <row r="74" spans="1:13" ht="21.75" customHeight="1">
      <c r="A74" s="15"/>
      <c r="B74" s="15"/>
      <c r="C74" s="15"/>
      <c r="D74" s="104"/>
      <c r="E74" s="29"/>
      <c r="F74" s="104"/>
      <c r="G74" s="29"/>
      <c r="H74" s="29"/>
      <c r="I74" s="29"/>
      <c r="J74" s="29"/>
    </row>
    <row r="75" spans="1:13" ht="21.75" customHeight="1">
      <c r="A75" s="44" t="s">
        <v>160</v>
      </c>
      <c r="B75" s="44"/>
      <c r="C75" s="44"/>
      <c r="D75" s="117">
        <f>+D41+D62+D73</f>
        <v>-20528</v>
      </c>
      <c r="E75" s="117"/>
      <c r="F75" s="117">
        <f>+F41+F62+F73</f>
        <v>-2318</v>
      </c>
      <c r="G75" s="117"/>
      <c r="H75" s="117">
        <f>+H41+H62+H73</f>
        <v>-15743</v>
      </c>
      <c r="I75" s="117"/>
      <c r="J75" s="117">
        <f>+J41+J62+J73</f>
        <v>4631</v>
      </c>
    </row>
    <row r="76" spans="1:13" ht="21.75" customHeight="1">
      <c r="A76" s="41" t="s">
        <v>164</v>
      </c>
      <c r="B76" s="41"/>
      <c r="C76" s="41"/>
      <c r="D76" s="95">
        <f>BS!E10</f>
        <v>51233</v>
      </c>
      <c r="E76" s="104"/>
      <c r="F76" s="95">
        <v>178368</v>
      </c>
      <c r="G76" s="104"/>
      <c r="H76" s="95">
        <f>BS!I10</f>
        <v>35077</v>
      </c>
      <c r="I76" s="104"/>
      <c r="J76" s="95">
        <v>47643</v>
      </c>
    </row>
    <row r="77" spans="1:13" ht="21.75" customHeight="1" thickBot="1">
      <c r="A77" s="44" t="s">
        <v>165</v>
      </c>
      <c r="B77" s="44"/>
      <c r="C77" s="44"/>
      <c r="D77" s="138">
        <f>SUM(D75:D76)</f>
        <v>30705</v>
      </c>
      <c r="E77" s="37"/>
      <c r="F77" s="138">
        <f>SUM(F75:F76)</f>
        <v>176050</v>
      </c>
      <c r="G77" s="37"/>
      <c r="H77" s="138">
        <f>SUM(H75:H76)</f>
        <v>19334</v>
      </c>
      <c r="I77" s="37"/>
      <c r="J77" s="138">
        <f>SUM(J75:J76)</f>
        <v>52274</v>
      </c>
      <c r="K77" s="9">
        <f>D77-BS!C10</f>
        <v>0</v>
      </c>
      <c r="L77" s="9">
        <f>H77-BS!G10</f>
        <v>0</v>
      </c>
    </row>
    <row r="78" spans="1:13" ht="12.6" customHeight="1" thickTop="1">
      <c r="A78" s="44"/>
      <c r="B78" s="44"/>
      <c r="C78" s="44"/>
      <c r="D78" s="11"/>
      <c r="E78" s="26"/>
      <c r="F78" s="11"/>
      <c r="G78" s="26"/>
      <c r="H78" s="11"/>
      <c r="I78" s="26"/>
      <c r="J78" s="11"/>
    </row>
    <row r="79" spans="1:13" ht="21.75" customHeight="1">
      <c r="A79" s="139"/>
      <c r="B79" s="139"/>
      <c r="C79" s="147"/>
      <c r="D79" s="147"/>
      <c r="E79" s="139"/>
      <c r="F79" s="139"/>
      <c r="G79" s="139"/>
      <c r="H79" s="139"/>
      <c r="I79" s="139"/>
      <c r="J79" s="139"/>
      <c r="K79" s="139"/>
    </row>
    <row r="80" spans="1:13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</sheetData>
  <mergeCells count="14">
    <mergeCell ref="D47:G47"/>
    <mergeCell ref="H47:J47"/>
    <mergeCell ref="D49:J49"/>
    <mergeCell ref="D3:G3"/>
    <mergeCell ref="H3:J3"/>
    <mergeCell ref="D4:G4"/>
    <mergeCell ref="H4:J4"/>
    <mergeCell ref="D5:F5"/>
    <mergeCell ref="H5:J5"/>
    <mergeCell ref="D7:J7"/>
    <mergeCell ref="D45:G45"/>
    <mergeCell ref="H45:J45"/>
    <mergeCell ref="D46:G46"/>
    <mergeCell ref="H46:J46"/>
  </mergeCells>
  <pageMargins left="0.8" right="0.7" top="0.48" bottom="0.5" header="0.5" footer="0.5"/>
  <pageSetup paperSize="9" scale="76" firstPageNumber="12" orientation="portrait" useFirstPageNumber="1" r:id="rId1"/>
  <headerFooter alignWithMargins="0">
    <oddFooter xml:space="preserve">&amp;L&amp;15
  หมายเหตุประกอบงบการเงินเป็นส่วนหนึ่งของงบการเงินนี้&amp;16
&amp;C&amp;15
&amp;P&amp;R&amp;"Angsana New,Italic"&amp;15
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</vt:lpstr>
      <vt:lpstr>PL</vt:lpstr>
      <vt:lpstr>SH-8</vt:lpstr>
      <vt:lpstr>SH-9</vt:lpstr>
      <vt:lpstr>SH-10</vt:lpstr>
      <vt:lpstr>SH-11</vt:lpstr>
      <vt:lpstr>CF</vt:lpstr>
      <vt:lpstr>BS!Print_Area</vt:lpstr>
      <vt:lpstr>CF!Print_Area</vt:lpstr>
      <vt:lpstr>PL!Print_Area</vt:lpstr>
      <vt:lpstr>'SH-10'!Print_Area</vt:lpstr>
      <vt:lpstr>'SH-11'!Print_Area</vt:lpstr>
      <vt:lpstr>'SH-8'!Print_Area</vt:lpstr>
      <vt:lpstr>'SH-9'!Print_Area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Siri-On Da-Asa</cp:lastModifiedBy>
  <cp:lastPrinted>2020-05-14T11:55:34Z</cp:lastPrinted>
  <dcterms:created xsi:type="dcterms:W3CDTF">2005-04-19T13:30:30Z</dcterms:created>
  <dcterms:modified xsi:type="dcterms:W3CDTF">2020-05-15T02:31:23Z</dcterms:modified>
</cp:coreProperties>
</file>