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eneral-Admin\Typist\SET\2019\M-09\"/>
    </mc:Choice>
  </mc:AlternateContent>
  <xr:revisionPtr revIDLastSave="0" documentId="13_ncr:1_{8E535872-122A-4E54-9A82-3B07EF36A69C}" xr6:coauthVersionLast="41" xr6:coauthVersionMax="41" xr10:uidLastSave="{00000000-0000-0000-0000-000000000000}"/>
  <bookViews>
    <workbookView xWindow="345" yWindow="345" windowWidth="4110" windowHeight="6450" tabRatio="866" xr2:uid="{00000000-000D-0000-FFFF-FFFF00000000}"/>
  </bookViews>
  <sheets>
    <sheet name="BS3" sheetId="1" r:id="rId1"/>
    <sheet name="PL9" sheetId="12" r:id="rId2"/>
    <sheet name="SH-10" sheetId="13" r:id="rId3"/>
    <sheet name="SH-11" sheetId="14" r:id="rId4"/>
    <sheet name="SH-12" sheetId="15" r:id="rId5"/>
    <sheet name="SH-13" sheetId="16" r:id="rId6"/>
    <sheet name="CF14" sheetId="17" r:id="rId7"/>
  </sheets>
  <externalReferences>
    <externalReference r:id="rId8"/>
  </externalReferences>
  <definedNames>
    <definedName name="_xlnm._FilterDatabase" localSheetId="6" hidden="1">'CF14'!$F$29:$F$44</definedName>
    <definedName name="_xlnm.Print_Area" localSheetId="0">'BS3'!$A$1:$I$98</definedName>
    <definedName name="_xlnm.Print_Area" localSheetId="6">'CF14'!$A$1:$J$89</definedName>
    <definedName name="_xlnm.Print_Area" localSheetId="1">'PL9'!$A$1:$I$116</definedName>
    <definedName name="_xlnm.Print_Area" localSheetId="2">'SH-10'!$A$1:$U$31</definedName>
    <definedName name="_xlnm.Print_Area" localSheetId="3">'SH-11'!$A$1:$U$21</definedName>
    <definedName name="_xlnm.Print_Area" localSheetId="4">'SH-12'!$A$1:$L$25</definedName>
    <definedName name="_xlnm.Print_Area" localSheetId="5">'SH-13'!$A$1:$L$17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7" i="17" l="1"/>
  <c r="J12" i="17"/>
  <c r="J62" i="17"/>
  <c r="J23" i="17"/>
  <c r="I84" i="12"/>
  <c r="I72" i="12"/>
  <c r="I26" i="12"/>
  <c r="I14" i="12"/>
  <c r="F23" i="17" l="1"/>
  <c r="F62" i="17"/>
  <c r="E84" i="12" l="1"/>
  <c r="E72" i="12"/>
  <c r="E26" i="12"/>
  <c r="E14" i="12"/>
  <c r="I22" i="12" l="1"/>
  <c r="E22" i="12"/>
  <c r="I19" i="12"/>
  <c r="E19" i="12"/>
  <c r="E77" i="12"/>
  <c r="E80" i="12"/>
  <c r="I80" i="12"/>
  <c r="I77" i="12"/>
  <c r="G73" i="12" l="1"/>
  <c r="C73" i="12"/>
  <c r="C15" i="12"/>
  <c r="G15" i="12"/>
  <c r="K29" i="1" l="1"/>
  <c r="K64" i="1"/>
  <c r="G22" i="12" l="1"/>
  <c r="C22" i="12"/>
  <c r="G77" i="12"/>
  <c r="C77" i="12"/>
  <c r="G80" i="12"/>
  <c r="C80" i="12"/>
  <c r="D77" i="17" l="1"/>
  <c r="D62" i="17"/>
  <c r="M13" i="17"/>
  <c r="D27" i="17" l="1"/>
  <c r="M77" i="17"/>
  <c r="M62" i="17"/>
  <c r="D12" i="17"/>
  <c r="M12" i="17" s="1"/>
  <c r="D30" i="17"/>
  <c r="M30" i="17"/>
  <c r="M61" i="17" l="1"/>
  <c r="U74" i="12" l="1"/>
  <c r="V86" i="12"/>
  <c r="U86" i="12"/>
  <c r="F31" i="17" l="1"/>
  <c r="F37" i="17"/>
  <c r="E53" i="1"/>
  <c r="E45" i="1"/>
  <c r="J27" i="17" l="1"/>
  <c r="J26" i="17"/>
  <c r="F26" i="17" l="1"/>
  <c r="F27" i="17"/>
  <c r="J31" i="17" l="1"/>
  <c r="G10" i="12"/>
  <c r="C10" i="12"/>
  <c r="C16" i="12" s="1"/>
  <c r="H27" i="17" l="1"/>
  <c r="G68" i="12"/>
  <c r="C68" i="12"/>
  <c r="G12" i="1"/>
  <c r="G91" i="1"/>
  <c r="C91" i="1"/>
  <c r="C12" i="1"/>
  <c r="C46" i="1" l="1"/>
  <c r="C53" i="1"/>
  <c r="C25" i="1"/>
  <c r="G11" i="1"/>
  <c r="C11" i="1"/>
  <c r="C10" i="1"/>
  <c r="C15" i="1" l="1"/>
  <c r="G30" i="1" l="1"/>
  <c r="I73" i="12" l="1"/>
  <c r="E73" i="12"/>
  <c r="I68" i="12"/>
  <c r="E68" i="12"/>
  <c r="I15" i="12"/>
  <c r="E15" i="12"/>
  <c r="I10" i="12"/>
  <c r="E10" i="12"/>
  <c r="AH68" i="12" l="1"/>
  <c r="AM111" i="12"/>
  <c r="AK111" i="12"/>
  <c r="AI111" i="12"/>
  <c r="Z111" i="12"/>
  <c r="AN110" i="12"/>
  <c r="AM110" i="12"/>
  <c r="AK110" i="12"/>
  <c r="AJ110" i="12"/>
  <c r="AI110" i="12"/>
  <c r="AM109" i="12"/>
  <c r="AK109" i="12"/>
  <c r="AI109" i="12"/>
  <c r="Z109" i="12"/>
  <c r="AM106" i="12"/>
  <c r="AK106" i="12"/>
  <c r="AI106" i="12"/>
  <c r="Z106" i="12"/>
  <c r="AN105" i="12"/>
  <c r="AM105" i="12"/>
  <c r="AL105" i="12"/>
  <c r="AK105" i="12"/>
  <c r="AJ105" i="12"/>
  <c r="AI105" i="12"/>
  <c r="AH105" i="12"/>
  <c r="AM104" i="12"/>
  <c r="AK104" i="12"/>
  <c r="AI104" i="12"/>
  <c r="Z104" i="12"/>
  <c r="AM93" i="12"/>
  <c r="AK93" i="12"/>
  <c r="AI93" i="12"/>
  <c r="Z93" i="12"/>
  <c r="AN92" i="12"/>
  <c r="AM92" i="12"/>
  <c r="AL92" i="12"/>
  <c r="AK92" i="12"/>
  <c r="AJ92" i="12"/>
  <c r="AI92" i="12"/>
  <c r="AH92" i="12"/>
  <c r="AM91" i="12"/>
  <c r="AK91" i="12"/>
  <c r="AI91" i="12"/>
  <c r="AF91" i="12"/>
  <c r="AD91" i="12"/>
  <c r="Z91" i="12"/>
  <c r="AN90" i="12"/>
  <c r="AM90" i="12"/>
  <c r="AL90" i="12"/>
  <c r="AK90" i="12"/>
  <c r="AJ90" i="12"/>
  <c r="AI90" i="12"/>
  <c r="AH90" i="12"/>
  <c r="AM89" i="12"/>
  <c r="AK89" i="12"/>
  <c r="AI89" i="12"/>
  <c r="Z89" i="12"/>
  <c r="AN88" i="12"/>
  <c r="AM88" i="12"/>
  <c r="AL88" i="12"/>
  <c r="AK88" i="12"/>
  <c r="AJ88" i="12"/>
  <c r="AI88" i="12"/>
  <c r="AH88" i="12"/>
  <c r="Z88" i="12"/>
  <c r="AM85" i="12"/>
  <c r="AK85" i="12"/>
  <c r="AI85" i="12"/>
  <c r="AD85" i="12"/>
  <c r="Z85" i="12"/>
  <c r="AN84" i="12"/>
  <c r="AM84" i="12"/>
  <c r="AK84" i="12"/>
  <c r="AJ84" i="12"/>
  <c r="AI84" i="12"/>
  <c r="AD84" i="12"/>
  <c r="AL84" i="12" s="1"/>
  <c r="Z84" i="12"/>
  <c r="AH84" i="12" s="1"/>
  <c r="AN83" i="12"/>
  <c r="AM83" i="12"/>
  <c r="AL83" i="12"/>
  <c r="AK83" i="12"/>
  <c r="AJ83" i="12"/>
  <c r="AI83" i="12"/>
  <c r="AH83" i="12"/>
  <c r="AN82" i="12"/>
  <c r="AM82" i="12"/>
  <c r="AL82" i="12"/>
  <c r="AK82" i="12"/>
  <c r="AJ82" i="12"/>
  <c r="AI82" i="12"/>
  <c r="AH82" i="12"/>
  <c r="AN81" i="12"/>
  <c r="AM81" i="12"/>
  <c r="AL81" i="12"/>
  <c r="AK81" i="12"/>
  <c r="AJ81" i="12"/>
  <c r="AI81" i="12"/>
  <c r="AH81" i="12"/>
  <c r="AN80" i="12"/>
  <c r="AM80" i="12"/>
  <c r="AL80" i="12"/>
  <c r="AK80" i="12"/>
  <c r="AJ80" i="12"/>
  <c r="AI80" i="12"/>
  <c r="AH80" i="12"/>
  <c r="AN79" i="12"/>
  <c r="AM79" i="12"/>
  <c r="AL79" i="12"/>
  <c r="AK79" i="12"/>
  <c r="AJ79" i="12"/>
  <c r="AI79" i="12"/>
  <c r="AH79" i="12"/>
  <c r="AN78" i="12"/>
  <c r="AM78" i="12"/>
  <c r="AL78" i="12"/>
  <c r="AK78" i="12"/>
  <c r="AJ78" i="12"/>
  <c r="AI78" i="12"/>
  <c r="AH78" i="12"/>
  <c r="AN77" i="12"/>
  <c r="AM77" i="12"/>
  <c r="AL77" i="12"/>
  <c r="AK77" i="12"/>
  <c r="AJ77" i="12"/>
  <c r="AI77" i="12"/>
  <c r="AH77" i="12"/>
  <c r="AM74" i="12"/>
  <c r="AK74" i="12"/>
  <c r="AI74" i="12"/>
  <c r="AD74" i="12"/>
  <c r="Z74" i="12"/>
  <c r="AN73" i="12"/>
  <c r="AM73" i="12"/>
  <c r="AL73" i="12"/>
  <c r="AK73" i="12"/>
  <c r="AJ73" i="12"/>
  <c r="AI73" i="12"/>
  <c r="AH73" i="12"/>
  <c r="AN72" i="12"/>
  <c r="AM72" i="12"/>
  <c r="AL72" i="12"/>
  <c r="AK72" i="12"/>
  <c r="AJ72" i="12"/>
  <c r="AI72" i="12"/>
  <c r="AD72" i="12"/>
  <c r="Z72" i="12"/>
  <c r="AH72" i="12" s="1"/>
  <c r="AN71" i="12"/>
  <c r="AM71" i="12"/>
  <c r="AL71" i="12"/>
  <c r="AK71" i="12"/>
  <c r="AJ71" i="12"/>
  <c r="AI71" i="12"/>
  <c r="AH71" i="12"/>
  <c r="AN70" i="12"/>
  <c r="AM70" i="12"/>
  <c r="AL70" i="12"/>
  <c r="AK70" i="12"/>
  <c r="AJ70" i="12"/>
  <c r="AI70" i="12"/>
  <c r="AH70" i="12"/>
  <c r="AN69" i="12"/>
  <c r="AM69" i="12"/>
  <c r="AL69" i="12"/>
  <c r="AK69" i="12"/>
  <c r="AJ69" i="12"/>
  <c r="AI69" i="12"/>
  <c r="AH69" i="12"/>
  <c r="AN68" i="12"/>
  <c r="AM68" i="12"/>
  <c r="AL68" i="12"/>
  <c r="AK68" i="12"/>
  <c r="AJ68" i="12"/>
  <c r="AI68" i="12"/>
  <c r="H11" i="17" l="1"/>
  <c r="D11" i="17"/>
  <c r="H78" i="17" l="1"/>
  <c r="J78" i="17"/>
  <c r="F78" i="17"/>
  <c r="D78" i="17"/>
  <c r="D63" i="17"/>
  <c r="G27" i="12"/>
  <c r="C27" i="12"/>
  <c r="C31" i="12" s="1"/>
  <c r="F39" i="17" l="1"/>
  <c r="F12" i="17"/>
  <c r="I12" i="17"/>
  <c r="J11" i="17"/>
  <c r="F11" i="17"/>
  <c r="J63" i="17"/>
  <c r="H63" i="17"/>
  <c r="F63" i="17"/>
  <c r="S18" i="14"/>
  <c r="S19" i="14" s="1"/>
  <c r="S20" i="14" s="1"/>
  <c r="S26" i="13"/>
  <c r="S27" i="13" s="1"/>
  <c r="L19" i="16"/>
  <c r="J19" i="16"/>
  <c r="H19" i="16"/>
  <c r="F19" i="16"/>
  <c r="D19" i="16"/>
  <c r="H15" i="16"/>
  <c r="H16" i="16" s="1"/>
  <c r="F15" i="16"/>
  <c r="F16" i="16" s="1"/>
  <c r="D15" i="16"/>
  <c r="D16" i="16" s="1"/>
  <c r="L12" i="16"/>
  <c r="L27" i="15"/>
  <c r="J27" i="15"/>
  <c r="H27" i="15"/>
  <c r="F27" i="15"/>
  <c r="D27" i="15"/>
  <c r="H23" i="15"/>
  <c r="F23" i="15"/>
  <c r="D23" i="15"/>
  <c r="J17" i="15"/>
  <c r="J19" i="15" s="1"/>
  <c r="H17" i="15"/>
  <c r="H19" i="15" s="1"/>
  <c r="H24" i="15" s="1"/>
  <c r="F17" i="15"/>
  <c r="F19" i="15" s="1"/>
  <c r="D17" i="15"/>
  <c r="D19" i="15" s="1"/>
  <c r="L16" i="15"/>
  <c r="L15" i="15"/>
  <c r="L12" i="15"/>
  <c r="O20" i="14"/>
  <c r="G20" i="14"/>
  <c r="E20" i="14"/>
  <c r="O19" i="14"/>
  <c r="K19" i="14"/>
  <c r="K20" i="14" s="1"/>
  <c r="I19" i="14"/>
  <c r="I20" i="14" s="1"/>
  <c r="G19" i="14"/>
  <c r="E19" i="14"/>
  <c r="C19" i="14"/>
  <c r="C20" i="14" s="1"/>
  <c r="Q16" i="14"/>
  <c r="U16" i="14" s="1"/>
  <c r="U30" i="13"/>
  <c r="S30" i="13"/>
  <c r="Q30" i="13"/>
  <c r="M30" i="13"/>
  <c r="K30" i="13"/>
  <c r="G30" i="13"/>
  <c r="E30" i="13"/>
  <c r="C30" i="13"/>
  <c r="O27" i="13"/>
  <c r="K27" i="13"/>
  <c r="I27" i="13"/>
  <c r="G27" i="13"/>
  <c r="E27" i="13"/>
  <c r="C27" i="13"/>
  <c r="O23" i="13"/>
  <c r="O28" i="13" s="1"/>
  <c r="I23" i="13"/>
  <c r="I28" i="13" s="1"/>
  <c r="S21" i="13"/>
  <c r="S23" i="13" s="1"/>
  <c r="O21" i="13"/>
  <c r="M21" i="13"/>
  <c r="M23" i="13" s="1"/>
  <c r="K21" i="13"/>
  <c r="K23" i="13" s="1"/>
  <c r="I21" i="13"/>
  <c r="G21" i="13"/>
  <c r="G23" i="13" s="1"/>
  <c r="G28" i="13" s="1"/>
  <c r="E21" i="13"/>
  <c r="E23" i="13" s="1"/>
  <c r="E28" i="13" s="1"/>
  <c r="E31" i="13" s="1"/>
  <c r="C21" i="13"/>
  <c r="Q20" i="13"/>
  <c r="U20" i="13" s="1"/>
  <c r="Q19" i="13"/>
  <c r="U19" i="13" s="1"/>
  <c r="Q16" i="13"/>
  <c r="I74" i="12"/>
  <c r="AN74" i="12" s="1"/>
  <c r="G110" i="12"/>
  <c r="AL110" i="12" s="1"/>
  <c r="C110" i="12"/>
  <c r="AH110" i="12" s="1"/>
  <c r="I85" i="12"/>
  <c r="AN85" i="12" s="1"/>
  <c r="E85" i="12"/>
  <c r="AJ85" i="12" s="1"/>
  <c r="P22" i="12"/>
  <c r="R22" i="12" s="1"/>
  <c r="G85" i="12"/>
  <c r="AL85" i="12" s="1"/>
  <c r="C85" i="12"/>
  <c r="AH85" i="12" s="1"/>
  <c r="G74" i="12"/>
  <c r="AL74" i="12" s="1"/>
  <c r="E74" i="12"/>
  <c r="C74" i="12"/>
  <c r="C52" i="12"/>
  <c r="P32" i="12"/>
  <c r="R32" i="12" s="1"/>
  <c r="J27" i="12"/>
  <c r="I27" i="12"/>
  <c r="E27" i="12"/>
  <c r="P26" i="12"/>
  <c r="R26" i="12" s="1"/>
  <c r="P23" i="12"/>
  <c r="R23" i="12" s="1"/>
  <c r="P21" i="12"/>
  <c r="R21" i="12" s="1"/>
  <c r="P20" i="12"/>
  <c r="R20" i="12" s="1"/>
  <c r="P19" i="12"/>
  <c r="R19" i="12" s="1"/>
  <c r="M19" i="12"/>
  <c r="L19" i="12"/>
  <c r="K19" i="12"/>
  <c r="J16" i="12"/>
  <c r="I16" i="12"/>
  <c r="G16" i="12"/>
  <c r="E16" i="12"/>
  <c r="P15" i="12"/>
  <c r="R15" i="12" s="1"/>
  <c r="P14" i="12"/>
  <c r="R14" i="12" s="1"/>
  <c r="P11" i="12"/>
  <c r="R11" i="12" s="1"/>
  <c r="P10" i="12"/>
  <c r="R10" i="12" s="1"/>
  <c r="J31" i="12" l="1"/>
  <c r="J33" i="12" s="1"/>
  <c r="AJ74" i="12"/>
  <c r="V85" i="12"/>
  <c r="V87" i="12" s="1"/>
  <c r="AH74" i="12"/>
  <c r="U85" i="12"/>
  <c r="U87" i="12" s="1"/>
  <c r="H28" i="15"/>
  <c r="K28" i="13"/>
  <c r="K31" i="13" s="1"/>
  <c r="L17" i="15"/>
  <c r="L19" i="15" s="1"/>
  <c r="F20" i="16"/>
  <c r="H20" i="16"/>
  <c r="F24" i="15"/>
  <c r="F28" i="15" s="1"/>
  <c r="D24" i="15"/>
  <c r="D28" i="15" s="1"/>
  <c r="S28" i="13"/>
  <c r="S31" i="13" s="1"/>
  <c r="G31" i="13"/>
  <c r="Q21" i="13"/>
  <c r="U21" i="13" s="1"/>
  <c r="U23" i="13" s="1"/>
  <c r="U16" i="13"/>
  <c r="C23" i="13"/>
  <c r="C28" i="13" s="1"/>
  <c r="C31" i="13" s="1"/>
  <c r="C89" i="12"/>
  <c r="U90" i="12" s="1"/>
  <c r="E89" i="12"/>
  <c r="I31" i="12"/>
  <c r="I33" i="12" s="1"/>
  <c r="I48" i="12" s="1"/>
  <c r="I46" i="12" s="1"/>
  <c r="E31" i="12"/>
  <c r="E33" i="12" s="1"/>
  <c r="E35" i="12" s="1"/>
  <c r="E53" i="12" s="1"/>
  <c r="E51" i="12" s="1"/>
  <c r="G31" i="12"/>
  <c r="G33" i="12" s="1"/>
  <c r="I89" i="12"/>
  <c r="G89" i="12"/>
  <c r="C33" i="12"/>
  <c r="W87" i="12" l="1"/>
  <c r="G91" i="12"/>
  <c r="AL91" i="12" s="1"/>
  <c r="AL89" i="12"/>
  <c r="C91" i="12"/>
  <c r="AH89" i="12"/>
  <c r="I91" i="12"/>
  <c r="AN91" i="12" s="1"/>
  <c r="AN89" i="12"/>
  <c r="E91" i="12"/>
  <c r="AJ91" i="12" s="1"/>
  <c r="AJ89" i="12"/>
  <c r="G35" i="12"/>
  <c r="G53" i="12" s="1"/>
  <c r="G51" i="12" s="1"/>
  <c r="C48" i="12"/>
  <c r="C46" i="12" s="1"/>
  <c r="C56" i="12" s="1"/>
  <c r="Q23" i="13"/>
  <c r="I57" i="12"/>
  <c r="I56" i="12"/>
  <c r="I35" i="12"/>
  <c r="I53" i="12" s="1"/>
  <c r="I51" i="12" s="1"/>
  <c r="E48" i="12"/>
  <c r="E46" i="12" s="1"/>
  <c r="H9" i="17" l="1"/>
  <c r="H24" i="17" s="1"/>
  <c r="H41" i="17" s="1"/>
  <c r="H44" i="17" s="1"/>
  <c r="H80" i="17" s="1"/>
  <c r="H82" i="17" s="1"/>
  <c r="H90" i="17" s="1"/>
  <c r="E106" i="12"/>
  <c r="E104" i="12" s="1"/>
  <c r="AH91" i="12"/>
  <c r="C106" i="12"/>
  <c r="C104" i="12" s="1"/>
  <c r="G93" i="12"/>
  <c r="P35" i="12" s="1"/>
  <c r="R35" i="12" s="1"/>
  <c r="G106" i="12"/>
  <c r="G104" i="12" s="1"/>
  <c r="AL104" i="12" s="1"/>
  <c r="G111" i="12"/>
  <c r="G109" i="12" s="1"/>
  <c r="AL109" i="12" s="1"/>
  <c r="C111" i="12"/>
  <c r="AH111" i="12" s="1"/>
  <c r="C93" i="12"/>
  <c r="AH93" i="12" s="1"/>
  <c r="D9" i="17"/>
  <c r="D24" i="17" s="1"/>
  <c r="D41" i="17" s="1"/>
  <c r="D44" i="17" s="1"/>
  <c r="D80" i="17" s="1"/>
  <c r="D82" i="17" s="1"/>
  <c r="D90" i="17" s="1"/>
  <c r="I111" i="12"/>
  <c r="I109" i="12" s="1"/>
  <c r="AN109" i="12" s="1"/>
  <c r="I106" i="12"/>
  <c r="AN106" i="12" s="1"/>
  <c r="I93" i="12"/>
  <c r="AN93" i="12" s="1"/>
  <c r="J9" i="17"/>
  <c r="J24" i="17" s="1"/>
  <c r="J41" i="17" s="1"/>
  <c r="J44" i="17" s="1"/>
  <c r="J80" i="17" s="1"/>
  <c r="J82" i="17" s="1"/>
  <c r="J90" i="17" s="1"/>
  <c r="F9" i="17"/>
  <c r="F24" i="17" s="1"/>
  <c r="F41" i="17" s="1"/>
  <c r="F44" i="17" s="1"/>
  <c r="F80" i="17" s="1"/>
  <c r="F82" i="17" s="1"/>
  <c r="F90" i="17" s="1"/>
  <c r="I104" i="12"/>
  <c r="E111" i="12"/>
  <c r="E93" i="12"/>
  <c r="AJ93" i="12" s="1"/>
  <c r="G48" i="12"/>
  <c r="G46" i="12" s="1"/>
  <c r="G56" i="12" s="1"/>
  <c r="C57" i="12"/>
  <c r="C35" i="12"/>
  <c r="C53" i="12" s="1"/>
  <c r="C51" i="12" s="1"/>
  <c r="E57" i="12"/>
  <c r="E56" i="12"/>
  <c r="AJ106" i="12" l="1"/>
  <c r="AL106" i="12"/>
  <c r="AN111" i="12"/>
  <c r="AL93" i="12"/>
  <c r="C109" i="12"/>
  <c r="AH109" i="12" s="1"/>
  <c r="AL111" i="12"/>
  <c r="J14" i="16"/>
  <c r="J15" i="16" s="1"/>
  <c r="J16" i="16" s="1"/>
  <c r="J20" i="16" s="1"/>
  <c r="AH106" i="12"/>
  <c r="G115" i="12"/>
  <c r="G114" i="12"/>
  <c r="J22" i="15"/>
  <c r="AN104" i="12"/>
  <c r="M26" i="13"/>
  <c r="AJ104" i="12"/>
  <c r="E109" i="12"/>
  <c r="AJ109" i="12" s="1"/>
  <c r="AJ111" i="12"/>
  <c r="G57" i="12"/>
  <c r="I93" i="1"/>
  <c r="I95" i="1" s="1"/>
  <c r="G93" i="1"/>
  <c r="G95" i="1" s="1"/>
  <c r="E93" i="1"/>
  <c r="E95" i="1" s="1"/>
  <c r="C93" i="1"/>
  <c r="C95" i="1" s="1"/>
  <c r="I68" i="1"/>
  <c r="G68" i="1"/>
  <c r="E68" i="1"/>
  <c r="C68" i="1"/>
  <c r="I52" i="1"/>
  <c r="E52" i="1"/>
  <c r="I46" i="1"/>
  <c r="E46" i="1"/>
  <c r="I45" i="1"/>
  <c r="G57" i="1"/>
  <c r="C57" i="1"/>
  <c r="I31" i="1"/>
  <c r="E30" i="1"/>
  <c r="E31" i="1" s="1"/>
  <c r="G31" i="1"/>
  <c r="C31" i="1"/>
  <c r="G16" i="1"/>
  <c r="I12" i="1"/>
  <c r="E12" i="1"/>
  <c r="I11" i="1"/>
  <c r="I16" i="1" s="1"/>
  <c r="I33" i="1" s="1"/>
  <c r="E11" i="1"/>
  <c r="E16" i="1" s="1"/>
  <c r="C16" i="1"/>
  <c r="L14" i="16" l="1"/>
  <c r="L15" i="16" s="1"/>
  <c r="L16" i="16" s="1"/>
  <c r="L20" i="16" s="1"/>
  <c r="AH104" i="12"/>
  <c r="C115" i="12"/>
  <c r="C114" i="12"/>
  <c r="M18" i="14"/>
  <c r="J23" i="15"/>
  <c r="J24" i="15" s="1"/>
  <c r="J28" i="15" s="1"/>
  <c r="L22" i="15"/>
  <c r="L23" i="15" s="1"/>
  <c r="L24" i="15" s="1"/>
  <c r="L28" i="15" s="1"/>
  <c r="M27" i="13"/>
  <c r="M28" i="13" s="1"/>
  <c r="M31" i="13" s="1"/>
  <c r="Q26" i="13"/>
  <c r="E57" i="1"/>
  <c r="E70" i="1" s="1"/>
  <c r="E97" i="1" s="1"/>
  <c r="C70" i="1"/>
  <c r="C97" i="1" s="1"/>
  <c r="E33" i="1"/>
  <c r="I57" i="1"/>
  <c r="I70" i="1" s="1"/>
  <c r="I97" i="1" s="1"/>
  <c r="I99" i="1" s="1"/>
  <c r="G70" i="1"/>
  <c r="G97" i="1" s="1"/>
  <c r="G33" i="1"/>
  <c r="C33" i="1"/>
  <c r="M19" i="14" l="1"/>
  <c r="M20" i="14" s="1"/>
  <c r="Q18" i="14"/>
  <c r="U26" i="13"/>
  <c r="U27" i="13" s="1"/>
  <c r="U28" i="13" s="1"/>
  <c r="U31" i="13" s="1"/>
  <c r="Q27" i="13"/>
  <c r="Q28" i="13" s="1"/>
  <c r="Q31" i="13" s="1"/>
  <c r="E99" i="1"/>
  <c r="C99" i="1"/>
  <c r="G99" i="1"/>
  <c r="Q19" i="14" l="1"/>
  <c r="Q20" i="14" s="1"/>
  <c r="U18" i="14"/>
  <c r="U19" i="14" s="1"/>
  <c r="U20" i="14" s="1"/>
  <c r="U22" i="14" s="1"/>
</calcChain>
</file>

<file path=xl/sharedStrings.xml><?xml version="1.0" encoding="utf-8"?>
<sst xmlns="http://schemas.openxmlformats.org/spreadsheetml/2006/main" count="547" uniqueCount="225">
  <si>
    <t>ทุนเรือนหุ้น</t>
  </si>
  <si>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</si>
  <si>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</si>
  <si>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</si>
  <si>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</si>
  <si>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</si>
  <si>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</si>
  <si>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</si>
  <si>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</si>
  <si>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</si>
  <si>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</si>
  <si>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</si>
  <si>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</si>
  <si>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</si>
  <si>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</si>
  <si>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</si>
  <si>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</si>
  <si>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</si>
  <si>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</si>
  <si>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</si>
  <si>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</si>
  <si>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</si>
  <si>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</si>
  <si>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</si>
  <si>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</si>
  <si>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</si>
  <si>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</si>
  <si>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</si>
  <si>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</si>
  <si>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</si>
  <si>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</si>
  <si>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</si>
  <si>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</si>
  <si>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</si>
  <si>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 xml:space="preserve">   ทุนที่ออกและชำระแล้ว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</si>
  <si>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</si>
  <si>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</si>
  <si>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</si>
  <si>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</si>
  <si>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</si>
  <si>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</si>
  <si>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ที่ดิน อาคารและอุปกรณ์ </t>
  </si>
  <si>
    <t xml:space="preserve">สินทรัพย์ไม่หมุนเวียนอื่น </t>
  </si>
  <si>
    <t>หุ้นกู้ระยะยาว</t>
  </si>
  <si>
    <t xml:space="preserve">   ยังไม่ได้จัดสรร</t>
  </si>
  <si>
    <t>ภาษีเงินได้ค้างจ่าย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</si>
  <si>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</si>
  <si>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</si>
  <si>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</si>
  <si>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</si>
  <si>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</si>
  <si>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ค่าเสื่อมราคาและค่าตัดจำหน่าย</t>
  </si>
  <si>
    <t>โครงการอสังหาริมทรัพย์ระหว่างการพัฒนา</t>
  </si>
  <si>
    <t>งบแสดงฐานะการเงิน</t>
  </si>
  <si>
    <t>อสังหาริมทรัพย์เพื่อการลงทุน</t>
  </si>
  <si>
    <t>ส่วนเกินมูลค่าหุ้นสามัญ</t>
  </si>
  <si>
    <t xml:space="preserve">        ทุนสำรองตามกฎหมาย</t>
  </si>
  <si>
    <t>องค์ประกอบอื่นของส่วนของผู้ถือหุ้น</t>
  </si>
  <si>
    <t>ส่วนได้เสียที่ไม่มีอำนาจควบคุม</t>
  </si>
  <si>
    <t>ที่ออกและ</t>
  </si>
  <si>
    <t>ทุนสำรองตาม</t>
  </si>
  <si>
    <t>ยังไม่ได้</t>
  </si>
  <si>
    <t>จัดสรร</t>
  </si>
  <si>
    <t>ควบคุม</t>
  </si>
  <si>
    <t>31 ธันวาคม</t>
  </si>
  <si>
    <t xml:space="preserve">   จัดสรรแล้ว</t>
  </si>
  <si>
    <t>เงินลงทุนในการร่วมค้า</t>
  </si>
  <si>
    <t xml:space="preserve"> </t>
  </si>
  <si>
    <t>รวมส่วนของบริษัทใหญ่</t>
  </si>
  <si>
    <t>ส่วนแบ่งขาดทุนจากเงินลงทุนในการร่วมค้า</t>
  </si>
  <si>
    <t>ประมาณการหนี้สินไม่หมุนเวียน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</si>
  <si>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</si>
  <si>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</si>
  <si>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</si>
  <si>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</si>
  <si>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ยอดคงเหลือ ณ วันที่ 1 มกราคม 2561</t>
  </si>
  <si>
    <t>งบกระแสเงินสด (ไม่ได้ตรวจสอบ)</t>
  </si>
  <si>
    <t>รายการที่ไม่ใช่เงินสด</t>
  </si>
  <si>
    <t>องค์ประกอบอื่น</t>
  </si>
  <si>
    <t>ของส่วนของ</t>
  </si>
  <si>
    <t>ผู้ถือหุ้น</t>
  </si>
  <si>
    <t>(ไม่ได้ตรวจสอบ)</t>
  </si>
  <si>
    <t>บริษัท แกรนด์ คาแนล แลนด์ จำกัด (มหาชน) และบริษัทย่อย</t>
  </si>
  <si>
    <t>ดอกเบี้ยรับ</t>
  </si>
  <si>
    <t>ยอดคงเหลือ ณ วันที่ 1 มกราคม 2562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</si>
  <si>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</si>
  <si>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</si>
  <si>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</si>
  <si>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</si>
  <si>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</si>
  <si>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</si>
  <si>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</si>
  <si>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</si>
  <si>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</si>
  <si>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</si>
  <si>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</si>
  <si>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</si>
  <si>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</si>
  <si>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สิทธิการเช่าที่ดินตัดจำหน่าย</t>
  </si>
  <si>
    <t>เจ้าหนี้เงินประกันผลงาน</t>
  </si>
  <si>
    <t>รายได้ค่าเช่าและค่าบริการรับล่วงหน้า</t>
  </si>
  <si>
    <t>หนี้สินไม่หมุนเวียนอื่น</t>
  </si>
  <si>
    <t>เงินให้กู้ยืมระยะสั้นแก่กิจการที่เกี่ยวข้องกัน</t>
  </si>
  <si>
    <t>เงินสดรับจากการลดทุนของบริษัทร่วม</t>
  </si>
  <si>
    <t>เงินฝากธนาคารที่มีภาระค้ำประกัน</t>
  </si>
  <si>
    <t>เงินลงทุนในบริษัทร่วม</t>
  </si>
  <si>
    <t>เงินลงทุนระยะยาวอื่น</t>
  </si>
  <si>
    <t>สิทธิการเช่าที่ดินจากกิจการที่เกี่ยวข้องกัน</t>
  </si>
  <si>
    <t>เงินกู้ยืมระยะยาวจากสถาบันการเงิน</t>
  </si>
  <si>
    <t xml:space="preserve">    ที่ถึงกำหนดชำระภายในหนึ่งปี</t>
  </si>
  <si>
    <t>หนี้สินภาษีเงินได้รอการตัดบัญชี</t>
  </si>
  <si>
    <t>เงินประกันการเช่าและบริการ</t>
  </si>
  <si>
    <t xml:space="preserve">    สำหรับผลประโยชน์พนักงาน</t>
  </si>
  <si>
    <t>ส่วนปรับปรุงมูลค่าสินทรัพย์ที่ซื้อภายใต้</t>
  </si>
  <si>
    <t xml:space="preserve">    การควบคุมเดียวกันให้เป็นราคาตามบัญชี</t>
  </si>
  <si>
    <t>ส่วนปรับปรุงทุนจากการซื้อธุรกิจแบบย้อนกลับ</t>
  </si>
  <si>
    <t>เงินให้กู้ยืมระยะยาวแก่กิจการที่เกี่ยวข้องกัน</t>
  </si>
  <si>
    <t>เงินมัดจำรับจากลูกค้า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</si>
  <si>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</si>
  <si>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</si>
  <si>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3, 11</t>
  </si>
  <si>
    <t>รายได้ค่าเช่าและค่าบริการรับล่วงหน้าที่ถึงกำหนด</t>
  </si>
  <si>
    <t>เงินกู้ยืมระยะสั้นจากสถาบันการเงิน</t>
  </si>
  <si>
    <t>2561 Per Lead</t>
  </si>
  <si>
    <t>กำไรขาดทุนเบ็ดเสร็จอื่น</t>
  </si>
  <si>
    <t>ขาดทุนจากการเปลี่ยนแปลงมูลค่ายุติธรรมของ</t>
  </si>
  <si>
    <t>ค่าใช้จ่ายในการขาย</t>
  </si>
  <si>
    <t>เงินสดและรายการเทียบเท่าเงินสดเพิ่มขึ้น (ลดลง) สุทธิ</t>
  </si>
  <si>
    <t>เงินปันผลรับ</t>
  </si>
  <si>
    <t xml:space="preserve">    รับรู้เป็นรายได้ภายในหนึ่งปี</t>
  </si>
  <si>
    <t>กำไร (ขาดทุน) สำหรับงวด</t>
  </si>
  <si>
    <t>ลูกหนี้อื่น</t>
  </si>
  <si>
    <t>ลูกหนี้การค้า</t>
  </si>
  <si>
    <t>3, 12</t>
  </si>
  <si>
    <t>เจ้าหนี้การค้า</t>
  </si>
  <si>
    <t>เจ้าหนี้อื่น</t>
  </si>
  <si>
    <t>เจ้าหนี้ผู้รับเหมาก่อสร้าง</t>
  </si>
  <si>
    <t>Q1</t>
  </si>
  <si>
    <t>3, 5, 23</t>
  </si>
  <si>
    <t>3, 6, 23</t>
  </si>
  <si>
    <t>3, 23</t>
  </si>
  <si>
    <t>30 กันยายน</t>
  </si>
  <si>
    <t>เงินจ่ายล่วงหน้าผู้รับเหมา</t>
  </si>
  <si>
    <t>วันที่ 30 กันยายน</t>
  </si>
  <si>
    <t>กำไรจากการเปลี่ยนแปลงมูลค่ายุติธรรมของ</t>
  </si>
  <si>
    <t xml:space="preserve">   อสังหาริมทรัพย์เพื่อการลงทุน</t>
  </si>
  <si>
    <t>ขาดทุนจากการด้อยค่าของเงินลงทุนในบริษัทย่อย</t>
  </si>
  <si>
    <t>ส่วนแบ่งกำไร (ขาดทุน) จากเงินลงทุนในบริษัทร่วม</t>
  </si>
  <si>
    <t>สำหรับงวดเก้าเดือนสิ้นสุด</t>
  </si>
  <si>
    <t>ยอดคงเหลือ ณ วันที่ 30 กันยายน 2561</t>
  </si>
  <si>
    <t>ยอดคงเหลือ ณ วันที่ 30 กันยายน 2562</t>
  </si>
  <si>
    <t>เงินรับจากการเพิ่มทุน</t>
  </si>
  <si>
    <t>โอนต้นทุนโครงการพัฒนาอสังหาริมทรัพย์เป็นอสังหาริมทรัพย์เพื่อการลงทุน</t>
  </si>
  <si>
    <t>รายได้จากการให้เช่าและให้บริการ</t>
  </si>
  <si>
    <t>3, 14, 23</t>
  </si>
  <si>
    <t>ต้นทุนค่าเช่าและค่าบริการ</t>
  </si>
  <si>
    <t>ต้นทุนทางการเงิน</t>
  </si>
  <si>
    <t xml:space="preserve">    และการร่วมค้า</t>
  </si>
  <si>
    <t xml:space="preserve">    อสังหาริมทรัพย์เพื่อการลงทุน</t>
  </si>
  <si>
    <t>กำไร (ขาดทุน) ก่อนภาษีเงินได้</t>
  </si>
  <si>
    <t>ค่าใช้จ่าย (รายได้) ภาษีเงินได้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</si>
  <si>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</si>
  <si>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</si>
  <si>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</si>
  <si>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</si>
  <si>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</si>
  <si>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</si>
  <si>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</si>
  <si>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กำไร (ขาดทุน) ต่อหุ้นปรับลด</t>
  </si>
  <si>
    <t>กำไร (ขาดทุน) ต่อหุ้น (บาท)</t>
  </si>
  <si>
    <t>รวมส่วน</t>
  </si>
  <si>
    <t>ส่วนได้เสีย</t>
  </si>
  <si>
    <t>ของผู้ถือหุ้น</t>
  </si>
  <si>
    <t>ที่ไม่มีอำนาจ</t>
  </si>
  <si>
    <t>ของบริษัทใหญ่</t>
  </si>
  <si>
    <t>รายการกับผู้ถือหุ้นที่บันทึกโดยตรงเข้าส่วนของผู้ถือหุ้น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</si>
  <si>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</si>
  <si>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</si>
  <si>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รวมเงินทุนที่ได้รับจากผู้ถือหุ้นและการจัดสรรส่วนทุนให้ผู้ถือหุ้น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</si>
  <si>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</si>
  <si>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</si>
  <si>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  กำไร</t>
  </si>
  <si>
    <t xml:space="preserve">   กำไร</t>
  </si>
  <si>
    <t xml:space="preserve">     ขาดทุน</t>
  </si>
  <si>
    <t>สำหรับงวดเก้าเดือนสิ้นสุดวันที่ 30 กันยายน 2561</t>
  </si>
  <si>
    <t>สำหรับงวดเก้าเดือนสิ้นสุดวันที่ 30 กันยายน 2562</t>
  </si>
  <si>
    <t xml:space="preserve">    ออกหุ้นสามัญเพิ่มทุน</t>
  </si>
  <si>
    <t>ปรับรายการที่กระทบกำไรเป็นเงินสดรับ (จ่าย)</t>
  </si>
  <si>
    <t>กลับรายการหนี้สูญและหนี้สงสัยจะสูญ</t>
  </si>
  <si>
    <t>กำไรจากการจำหน่ายที่ดิน อาคาร และอุปกรณ์</t>
  </si>
  <si>
    <t>ประมาณการหนี้สินสำหรับผลประโยชน์พนักงาน</t>
  </si>
  <si>
    <t>รายได้ค่าเช่าและค่าบริการรับล่วงหน้าส่วนที่รับรู้เป็นรายได้</t>
  </si>
  <si>
    <t>ส่วนแบ่งกำไรจากเงินลงทุนในบริษัทร่วม</t>
  </si>
  <si>
    <t>การเปลี่ยนแปลงในสินทรัพย์และหนี้สินดำเนินงาน</t>
  </si>
  <si>
    <t xml:space="preserve">กระแสเงินสดสุทธิได้มาจาก (ใช้ไปใน) การดำเนินงาน </t>
  </si>
  <si>
    <t>ภาษีเงินได้รับคืน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</si>
  <si>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</si>
  <si>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</si>
  <si>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เงินสดจ่ายเพื่อซื้อที่ดิน อาคารและอุปกรณ์</t>
  </si>
  <si>
    <t>เงินสดรับจากการขายอุปกรณ์</t>
  </si>
  <si>
    <t>เงินสดจ่ายเพื่อซื้ออสังหาริมทรัพย์เพื่อการลงทุน</t>
  </si>
  <si>
    <t>กระแสเงินสดสุทธิได้มาจาก (ใช้ไปใน) กิจกรรมลงทุน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</si>
  <si>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</si>
  <si>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</si>
  <si>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</si>
  <si>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</si>
  <si>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</si>
  <si>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</si>
  <si>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</si>
  <si>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เงินสดจ่ายชำระคืนหุ้นกู้</t>
  </si>
  <si>
    <t>เงินปันผลจ่ายให้ผู้ถือหุ้นของบริษัท</t>
  </si>
  <si>
    <t>ดอกเบี้ยจ่าย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</si>
  <si>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</si>
  <si>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 ณ 1 มกราคม</t>
  </si>
  <si>
    <t>ลูกหนี้ค่าอุปกรณ์ - กิจการที่เกี่ยวข้องกันเพิ่มขึ้นสุทธิ</t>
  </si>
  <si>
    <t>ขาดทุน (กำไร) จากการเปลี่ยนแปลงมูลค่ายุติธรรมของอสังหาริมทรัพย์เพื่อการลงทุน</t>
  </si>
  <si>
    <t>เงินสดจ่ายเพื่อซื้อสินทรัพย์ไม่มีตัวตน</t>
  </si>
  <si>
    <t>เจ้าหนี้อื่น - กิจการที่เกี่ยวข้องกันลดลงจากการจำหน่าย</t>
  </si>
  <si>
    <t>เงินสดและรายการเทียบเท่าเงินสด ณ 30 กันยายน</t>
  </si>
  <si>
    <t>สำหรับงวดหกเดือนสิ้นสุด</t>
  </si>
  <si>
    <t>วันที่ 30 มิถุนายน</t>
  </si>
  <si>
    <t>ส่วนแบ่งขาดทุนจากเงินลงทุนในบริษัทร่วม</t>
  </si>
  <si>
    <t>Per Audit</t>
  </si>
  <si>
    <t>รวมกำไรขาดทุนเบ็ดเสร็จสำหรับงวด</t>
  </si>
  <si>
    <t>เงินฝากที่มีภาระค้ำประกันลดลง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</si>
</sst>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_-* #,##0_-;\-* #,##0_-;_-* &quot;-&quot;??_-;_-@_-"/>
    <numFmt numFmtId="168" formatCode="_(* #,##0.000000_);_(* \(#,##0.000000\);_(* &quot;-&quot;??_);_(@_)"/>
    <numFmt numFmtId="169" formatCode="_(* #,##0.0_);_(* \(#,##0.0\);_(* &quot;-&quot;??_);_(@_)"/>
    <numFmt numFmtId="170" formatCode="#,##0.000\ ;\(#,##0.000\)"/>
    <numFmt numFmtId="171" formatCode="0.000"/>
    <numFmt numFmtId="172" formatCode="#,##0.00\ ;\(#,##0.00\)"/>
    <numFmt numFmtId="173" formatCode="_(* #,##0.000_);_(* \(#,##0.000\);_(* &quot;-&quot;??_);_(@_)"/>
  </numFmts>
  <fonts count="20" x14ac:knownFonts="1">
    <font>
      <sz val="16"/>
      <name val="Angsana New"/>
      <family val="1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sz val="8"/>
      <name val="Arial"/>
      <family val="2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sz val="11"/>
      <color theme="1"/>
      <name val="Calibri"/>
      <family val="2"/>
      <scheme val="minor"/>
    </font>
    <font>
      <sz val="15"/>
      <color theme="0"/>
      <name val="Angsana New"/>
      <family val="1"/>
    </font>
    <font>
      <b/>
      <sz val="15"/>
      <color theme="1"/>
      <name val="Angsana New"/>
      <family val="1"/>
    </font>
    <font>
      <sz val="15"/>
      <color rgb="FFFF0000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u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85">
    <xf numFmtId="0" fontId="0" fillId="0" borderId="0" xfId="0"/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6" fillId="0" borderId="0" xfId="0" applyFont="1" applyFill="1" applyAlignment="1">
      <alignment horizontal="left"/>
    </xf>
    <xf numFmtId="165" fontId="8" fillId="0" borderId="1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37" fontId="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left"/>
    </xf>
    <xf numFmtId="165" fontId="8" fillId="0" borderId="0" xfId="0" applyNumberFormat="1" applyFont="1" applyFill="1" applyAlignment="1">
      <alignment horizontal="right"/>
    </xf>
    <xf numFmtId="43" fontId="8" fillId="0" borderId="0" xfId="1" applyFont="1" applyFill="1" applyAlignment="1"/>
    <xf numFmtId="165" fontId="8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9" fillId="0" borderId="0" xfId="0" applyFont="1" applyFill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Alignment="1"/>
    <xf numFmtId="166" fontId="6" fillId="0" borderId="0" xfId="0" applyNumberFormat="1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/>
    <xf numFmtId="0" fontId="8" fillId="0" borderId="0" xfId="0" applyFont="1" applyFill="1" applyBorder="1" applyAlignment="1">
      <alignment horizontal="center"/>
    </xf>
    <xf numFmtId="37" fontId="8" fillId="0" borderId="0" xfId="0" applyNumberFormat="1" applyFont="1" applyFill="1" applyBorder="1" applyAlignment="1"/>
    <xf numFmtId="165" fontId="8" fillId="0" borderId="0" xfId="0" applyNumberFormat="1" applyFont="1" applyFill="1" applyAlignment="1"/>
    <xf numFmtId="166" fontId="8" fillId="0" borderId="0" xfId="1" applyNumberFormat="1" applyFont="1" applyFill="1" applyBorder="1" applyAlignment="1">
      <alignment horizontal="center"/>
    </xf>
    <xf numFmtId="41" fontId="8" fillId="0" borderId="0" xfId="0" applyNumberFormat="1" applyFont="1" applyFill="1" applyBorder="1" applyAlignment="1">
      <alignment horizontal="right"/>
    </xf>
    <xf numFmtId="166" fontId="8" fillId="0" borderId="0" xfId="1" applyNumberFormat="1" applyFont="1" applyFill="1" applyAlignment="1">
      <alignment horizontal="right"/>
    </xf>
    <xf numFmtId="43" fontId="8" fillId="0" borderId="0" xfId="1" applyFont="1" applyFill="1" applyAlignment="1">
      <alignment horizontal="center"/>
    </xf>
    <xf numFmtId="165" fontId="6" fillId="0" borderId="1" xfId="0" applyNumberFormat="1" applyFont="1" applyFill="1" applyBorder="1" applyAlignment="1">
      <alignment horizontal="right"/>
    </xf>
    <xf numFmtId="167" fontId="8" fillId="0" borderId="3" xfId="0" applyNumberFormat="1" applyFont="1" applyFill="1" applyBorder="1" applyAlignment="1">
      <alignment horizontal="right"/>
    </xf>
    <xf numFmtId="0" fontId="0" fillId="0" borderId="0" xfId="0" applyFont="1" applyFill="1" applyAlignment="1"/>
    <xf numFmtId="49" fontId="8" fillId="0" borderId="0" xfId="0" applyNumberFormat="1" applyFont="1" applyFill="1" applyAlignment="1">
      <alignment horizontal="left"/>
    </xf>
    <xf numFmtId="43" fontId="14" fillId="0" borderId="0" xfId="1" applyFont="1" applyFill="1" applyAlignment="1">
      <alignment horizontal="right"/>
    </xf>
    <xf numFmtId="43" fontId="8" fillId="0" borderId="0" xfId="1" applyFont="1" applyFill="1" applyAlignment="1">
      <alignment horizontal="right"/>
    </xf>
    <xf numFmtId="166" fontId="8" fillId="0" borderId="0" xfId="1" applyNumberFormat="1" applyFont="1" applyFill="1" applyAlignment="1"/>
    <xf numFmtId="0" fontId="3" fillId="0" borderId="0" xfId="0" applyFont="1" applyFill="1" applyAlignment="1">
      <alignment horizontal="left"/>
    </xf>
    <xf numFmtId="166" fontId="8" fillId="0" borderId="0" xfId="1" applyNumberFormat="1" applyFont="1" applyFill="1" applyBorder="1" applyAlignment="1"/>
    <xf numFmtId="166" fontId="6" fillId="0" borderId="0" xfId="1" applyNumberFormat="1" applyFont="1" applyFill="1" applyAlignment="1"/>
    <xf numFmtId="37" fontId="8" fillId="0" borderId="0" xfId="1" applyNumberFormat="1" applyFont="1" applyFill="1" applyAlignment="1">
      <alignment horizontal="right"/>
    </xf>
    <xf numFmtId="49" fontId="9" fillId="0" borderId="0" xfId="0" applyNumberFormat="1" applyFont="1" applyFill="1" applyAlignment="1"/>
    <xf numFmtId="166" fontId="8" fillId="0" borderId="0" xfId="1" applyNumberFormat="1" applyFont="1" applyFill="1" applyAlignment="1">
      <alignment horizontal="center"/>
    </xf>
    <xf numFmtId="37" fontId="8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49" fontId="8" fillId="0" borderId="0" xfId="0" applyNumberFormat="1" applyFont="1" applyFill="1" applyBorder="1" applyAlignment="1"/>
    <xf numFmtId="43" fontId="8" fillId="0" borderId="0" xfId="1" applyFont="1" applyFill="1" applyBorder="1" applyAlignment="1">
      <alignment horizontal="center"/>
    </xf>
    <xf numFmtId="167" fontId="8" fillId="0" borderId="0" xfId="0" applyNumberFormat="1" applyFont="1" applyFill="1" applyBorder="1" applyAlignment="1">
      <alignment horizontal="right"/>
    </xf>
    <xf numFmtId="166" fontId="8" fillId="0" borderId="0" xfId="1" quotePrefix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66" fontId="8" fillId="0" borderId="1" xfId="1" applyNumberFormat="1" applyFont="1" applyFill="1" applyBorder="1" applyAlignment="1"/>
    <xf numFmtId="165" fontId="15" fillId="0" borderId="2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8" fillId="0" borderId="0" xfId="7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10" fontId="8" fillId="0" borderId="0" xfId="7" applyNumberFormat="1" applyFont="1" applyFill="1" applyAlignment="1"/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top"/>
    </xf>
    <xf numFmtId="43" fontId="8" fillId="0" borderId="0" xfId="1" quotePrefix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center"/>
    </xf>
    <xf numFmtId="43" fontId="8" fillId="0" borderId="0" xfId="1" applyNumberFormat="1" applyFont="1" applyFill="1" applyAlignment="1"/>
    <xf numFmtId="37" fontId="8" fillId="0" borderId="1" xfId="0" applyNumberFormat="1" applyFont="1" applyFill="1" applyBorder="1" applyAlignment="1">
      <alignment horizontal="right"/>
    </xf>
    <xf numFmtId="169" fontId="8" fillId="0" borderId="0" xfId="1" applyNumberFormat="1" applyFont="1" applyFill="1" applyAlignment="1"/>
    <xf numFmtId="10" fontId="8" fillId="0" borderId="0" xfId="7" applyNumberFormat="1" applyFont="1" applyFill="1" applyBorder="1" applyAlignment="1"/>
    <xf numFmtId="43" fontId="8" fillId="0" borderId="1" xfId="1" applyFont="1" applyFill="1" applyBorder="1" applyAlignment="1">
      <alignment horizontal="right"/>
    </xf>
    <xf numFmtId="166" fontId="8" fillId="0" borderId="1" xfId="1" applyNumberFormat="1" applyFont="1" applyFill="1" applyBorder="1" applyAlignment="1">
      <alignment horizontal="right"/>
    </xf>
    <xf numFmtId="43" fontId="8" fillId="0" borderId="0" xfId="1" applyFont="1" applyFill="1" applyBorder="1" applyAlignment="1">
      <alignment horizontal="right"/>
    </xf>
    <xf numFmtId="43" fontId="8" fillId="0" borderId="1" xfId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right"/>
    </xf>
    <xf numFmtId="43" fontId="8" fillId="0" borderId="0" xfId="0" applyNumberFormat="1" applyFont="1" applyFill="1" applyAlignment="1"/>
    <xf numFmtId="2" fontId="8" fillId="0" borderId="0" xfId="0" applyNumberFormat="1" applyFont="1" applyFill="1" applyAlignment="1"/>
    <xf numFmtId="166" fontId="8" fillId="0" borderId="0" xfId="1" applyNumberFormat="1" applyFont="1" applyFill="1" applyBorder="1" applyAlignment="1">
      <alignment horizontal="right"/>
    </xf>
    <xf numFmtId="165" fontId="6" fillId="0" borderId="1" xfId="8" applyNumberFormat="1" applyFont="1" applyFill="1" applyBorder="1" applyAlignment="1">
      <alignment horizontal="right"/>
    </xf>
    <xf numFmtId="165" fontId="8" fillId="0" borderId="0" xfId="8" applyNumberFormat="1" applyFont="1" applyFill="1" applyBorder="1" applyAlignment="1">
      <alignment horizontal="right"/>
    </xf>
    <xf numFmtId="165" fontId="6" fillId="0" borderId="2" xfId="8" applyNumberFormat="1" applyFont="1" applyFill="1" applyBorder="1" applyAlignment="1">
      <alignment horizontal="right"/>
    </xf>
    <xf numFmtId="41" fontId="8" fillId="0" borderId="0" xfId="0" applyNumberFormat="1" applyFont="1" applyFill="1" applyAlignment="1"/>
    <xf numFmtId="166" fontId="8" fillId="0" borderId="0" xfId="8" applyNumberFormat="1" applyFont="1" applyFill="1" applyAlignment="1"/>
    <xf numFmtId="165" fontId="8" fillId="0" borderId="1" xfId="8" applyNumberFormat="1" applyFont="1" applyFill="1" applyBorder="1" applyAlignment="1">
      <alignment horizontal="right"/>
    </xf>
    <xf numFmtId="37" fontId="8" fillId="0" borderId="0" xfId="0" applyNumberFormat="1" applyFont="1" applyFill="1" applyAlignment="1">
      <alignment horizontal="center"/>
    </xf>
    <xf numFmtId="37" fontId="8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9" fontId="8" fillId="0" borderId="0" xfId="0" applyNumberFormat="1" applyFont="1" applyFill="1" applyAlignment="1"/>
    <xf numFmtId="166" fontId="8" fillId="0" borderId="0" xfId="9" applyNumberFormat="1" applyFont="1" applyFill="1" applyAlignment="1"/>
    <xf numFmtId="165" fontId="6" fillId="0" borderId="5" xfId="0" applyNumberFormat="1" applyFont="1" applyFill="1" applyBorder="1" applyAlignment="1"/>
    <xf numFmtId="165" fontId="6" fillId="0" borderId="4" xfId="0" applyNumberFormat="1" applyFont="1" applyFill="1" applyBorder="1" applyAlignment="1"/>
    <xf numFmtId="166" fontId="6" fillId="0" borderId="3" xfId="1" applyNumberFormat="1" applyFont="1" applyFill="1" applyBorder="1" applyAlignment="1">
      <alignment horizontal="center"/>
    </xf>
    <xf numFmtId="0" fontId="8" fillId="0" borderId="0" xfId="8" applyFont="1" applyFill="1" applyBorder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165" fontId="6" fillId="0" borderId="4" xfId="8" applyNumberFormat="1" applyFont="1" applyFill="1" applyBorder="1" applyAlignment="1">
      <alignment horizontal="right"/>
    </xf>
    <xf numFmtId="0" fontId="6" fillId="0" borderId="0" xfId="0" applyFont="1" applyFill="1" applyAlignment="1">
      <alignment wrapText="1"/>
    </xf>
    <xf numFmtId="165" fontId="6" fillId="0" borderId="4" xfId="0" applyNumberFormat="1" applyFont="1" applyFill="1" applyBorder="1" applyAlignment="1">
      <alignment horizontal="right"/>
    </xf>
    <xf numFmtId="3" fontId="6" fillId="0" borderId="0" xfId="8" applyNumberFormat="1" applyFont="1" applyFill="1" applyBorder="1" applyAlignment="1">
      <alignment wrapText="1"/>
    </xf>
    <xf numFmtId="3" fontId="6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8" fillId="0" borderId="0" xfId="8" applyFont="1" applyFill="1" applyAlignment="1"/>
    <xf numFmtId="170" fontId="8" fillId="0" borderId="3" xfId="0" applyNumberFormat="1" applyFont="1" applyFill="1" applyBorder="1" applyAlignment="1">
      <alignment horizontal="right"/>
    </xf>
    <xf numFmtId="43" fontId="8" fillId="0" borderId="1" xfId="9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43" fontId="6" fillId="0" borderId="0" xfId="1" applyFont="1" applyFill="1" applyBorder="1" applyAlignment="1">
      <alignment horizontal="right"/>
    </xf>
    <xf numFmtId="166" fontId="6" fillId="0" borderId="0" xfId="1" quotePrefix="1" applyNumberFormat="1" applyFont="1" applyFill="1" applyAlignment="1">
      <alignment horizontal="center"/>
    </xf>
    <xf numFmtId="166" fontId="8" fillId="0" borderId="0" xfId="1" quotePrefix="1" applyNumberFormat="1" applyFont="1" applyFill="1" applyAlignment="1">
      <alignment horizontal="center"/>
    </xf>
    <xf numFmtId="166" fontId="6" fillId="0" borderId="2" xfId="1" applyNumberFormat="1" applyFont="1" applyFill="1" applyBorder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0" fontId="17" fillId="0" borderId="0" xfId="0" applyFont="1" applyFill="1" applyAlignment="1">
      <alignment wrapText="1"/>
    </xf>
    <xf numFmtId="166" fontId="6" fillId="0" borderId="1" xfId="1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43" fontId="8" fillId="0" borderId="0" xfId="1" quotePrefix="1" applyFont="1" applyFill="1" applyAlignment="1">
      <alignment horizontal="center"/>
    </xf>
    <xf numFmtId="166" fontId="6" fillId="0" borderId="2" xfId="1" quotePrefix="1" applyNumberFormat="1" applyFont="1" applyFill="1" applyBorder="1" applyAlignment="1">
      <alignment horizontal="center"/>
    </xf>
    <xf numFmtId="166" fontId="6" fillId="0" borderId="0" xfId="1" quotePrefix="1" applyNumberFormat="1" applyFont="1" applyFill="1" applyBorder="1" applyAlignment="1">
      <alignment horizontal="center"/>
    </xf>
    <xf numFmtId="166" fontId="6" fillId="0" borderId="0" xfId="1" applyNumberFormat="1" applyFont="1" applyFill="1" applyAlignment="1">
      <alignment horizontal="right"/>
    </xf>
    <xf numFmtId="43" fontId="7" fillId="0" borderId="0" xfId="1" applyFont="1" applyFill="1" applyAlignment="1"/>
    <xf numFmtId="43" fontId="6" fillId="0" borderId="2" xfId="1" quotePrefix="1" applyNumberFormat="1" applyFont="1" applyFill="1" applyBorder="1" applyAlignment="1">
      <alignment horizontal="center"/>
    </xf>
    <xf numFmtId="43" fontId="6" fillId="0" borderId="0" xfId="1" quotePrefix="1" applyNumberFormat="1" applyFont="1" applyFill="1" applyBorder="1" applyAlignment="1">
      <alignment horizontal="center"/>
    </xf>
    <xf numFmtId="43" fontId="6" fillId="0" borderId="2" xfId="1" applyFont="1" applyFill="1" applyBorder="1" applyAlignment="1">
      <alignment horizontal="right"/>
    </xf>
    <xf numFmtId="0" fontId="7" fillId="0" borderId="0" xfId="0" applyFont="1" applyFill="1"/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43" fontId="19" fillId="0" borderId="0" xfId="1" applyFont="1" applyFill="1" applyBorder="1" applyAlignment="1">
      <alignment horizontal="right"/>
    </xf>
    <xf numFmtId="166" fontId="19" fillId="0" borderId="0" xfId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166" fontId="6" fillId="0" borderId="3" xfId="1" applyNumberFormat="1" applyFont="1" applyFill="1" applyBorder="1" applyAlignment="1">
      <alignment horizontal="right"/>
    </xf>
    <xf numFmtId="165" fontId="19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/>
    <xf numFmtId="49" fontId="8" fillId="0" borderId="0" xfId="0" applyNumberFormat="1" applyFont="1" applyFill="1" applyAlignment="1"/>
    <xf numFmtId="166" fontId="8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>
      <alignment horizontal="center"/>
    </xf>
    <xf numFmtId="43" fontId="8" fillId="0" borderId="0" xfId="1" applyNumberFormat="1" applyFont="1" applyFill="1" applyAlignment="1">
      <alignment horizontal="right"/>
    </xf>
    <xf numFmtId="49" fontId="7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/>
    <xf numFmtId="166" fontId="8" fillId="0" borderId="5" xfId="1" applyNumberFormat="1" applyFont="1" applyFill="1" applyBorder="1" applyAlignment="1"/>
    <xf numFmtId="166" fontId="6" fillId="0" borderId="2" xfId="0" applyNumberFormat="1" applyFont="1" applyFill="1" applyBorder="1" applyAlignment="1">
      <alignment horizontal="right"/>
    </xf>
    <xf numFmtId="0" fontId="8" fillId="0" borderId="0" xfId="6" applyFont="1" applyFill="1" applyAlignment="1"/>
    <xf numFmtId="166" fontId="6" fillId="0" borderId="3" xfId="0" applyNumberFormat="1" applyFont="1" applyFill="1" applyBorder="1" applyAlignment="1">
      <alignment horizontal="right"/>
    </xf>
    <xf numFmtId="43" fontId="16" fillId="0" borderId="0" xfId="1" applyFont="1" applyFill="1" applyBorder="1" applyAlignment="1">
      <alignment horizontal="right"/>
    </xf>
    <xf numFmtId="41" fontId="2" fillId="0" borderId="0" xfId="0" applyNumberFormat="1" applyFont="1" applyFill="1" applyBorder="1" applyAlignment="1">
      <alignment horizontal="center" vertical="top"/>
    </xf>
    <xf numFmtId="41" fontId="2" fillId="0" borderId="0" xfId="1" applyNumberFormat="1" applyFont="1" applyFill="1" applyBorder="1" applyAlignment="1">
      <alignment horizontal="center" vertical="top"/>
    </xf>
    <xf numFmtId="171" fontId="8" fillId="0" borderId="3" xfId="8" applyNumberFormat="1" applyFont="1" applyFill="1" applyBorder="1" applyAlignment="1">
      <alignment horizontal="right"/>
    </xf>
    <xf numFmtId="171" fontId="8" fillId="0" borderId="0" xfId="0" applyNumberFormat="1" applyFont="1" applyFill="1" applyBorder="1" applyAlignment="1">
      <alignment horizontal="right"/>
    </xf>
    <xf numFmtId="171" fontId="8" fillId="0" borderId="3" xfId="0" applyNumberFormat="1" applyFont="1" applyFill="1" applyBorder="1" applyAlignment="1">
      <alignment horizontal="right"/>
    </xf>
    <xf numFmtId="171" fontId="8" fillId="0" borderId="6" xfId="1" applyNumberFormat="1" applyFont="1" applyFill="1" applyBorder="1" applyAlignment="1"/>
    <xf numFmtId="171" fontId="8" fillId="0" borderId="0" xfId="0" applyNumberFormat="1" applyFont="1" applyFill="1" applyAlignment="1"/>
    <xf numFmtId="171" fontId="8" fillId="0" borderId="3" xfId="1" applyNumberFormat="1" applyFont="1" applyFill="1" applyBorder="1" applyAlignment="1">
      <alignment horizontal="right"/>
    </xf>
    <xf numFmtId="170" fontId="8" fillId="0" borderId="3" xfId="8" applyNumberFormat="1" applyFont="1" applyFill="1" applyBorder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173" fontId="8" fillId="0" borderId="6" xfId="1" applyNumberFormat="1" applyFont="1" applyFill="1" applyBorder="1" applyAlignment="1"/>
    <xf numFmtId="173" fontId="8" fillId="0" borderId="3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Continuous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9" fontId="8" fillId="0" borderId="0" xfId="7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top" wrapText="1"/>
    </xf>
  </cellXfs>
  <cellStyles count="10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Normal" xfId="0" builtinId="0"/>
    <cellStyle name="Normal 3" xfId="4" xr:uid="{00000000-0005-0000-0000-000005000000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</cellStyles>
  <dxfs count="0"/>
  <tableStyles count="0" defaultTableStyle="TableStyleMedium9" defaultPivotStyle="PivotStyleLight16"/>
  <colors>
    <mruColors>
      <color rgb="FF00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neral-Admin/Typist/In%20Process%202016-2017/p/PRE356/2017/M-03/Rev%201/pre356a171b-03t-1%20Rev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"/>
      <sheetName val="PL6-7"/>
      <sheetName val="ส่วนของผู้ถือหุ้นรวม8"/>
      <sheetName val="ส่วนของผู้ถือหุ้นรวม9"/>
      <sheetName val="ส่วนของผู้ถือหุ้นเฉพาะ10"/>
      <sheetName val="ส่วนของผู้ถือหุ้นเฉพาะ11"/>
      <sheetName val="งบกระแสเงินสด"/>
      <sheetName val="Sheet1"/>
    </sheetNames>
    <sheetDataSet>
      <sheetData sheetId="0" refreshError="1">
        <row r="11">
          <cell r="C11" t="str">
            <v>-</v>
          </cell>
        </row>
        <row r="77">
          <cell r="C77">
            <v>2232682</v>
          </cell>
          <cell r="G77">
            <v>2232682</v>
          </cell>
        </row>
        <row r="78">
          <cell r="C78">
            <v>1828229</v>
          </cell>
          <cell r="G78">
            <v>1828229</v>
          </cell>
        </row>
        <row r="79">
          <cell r="C79" t="str">
            <v>-</v>
          </cell>
        </row>
        <row r="82">
          <cell r="C82">
            <v>228530</v>
          </cell>
          <cell r="G82">
            <v>228530</v>
          </cell>
        </row>
        <row r="83">
          <cell r="C83">
            <v>32660144</v>
          </cell>
          <cell r="G83">
            <v>26538983</v>
          </cell>
        </row>
        <row r="85">
          <cell r="C85">
            <v>36896986</v>
          </cell>
        </row>
        <row r="86">
          <cell r="C86">
            <v>-9333</v>
          </cell>
        </row>
        <row r="87">
          <cell r="C87">
            <v>36887653</v>
          </cell>
          <cell r="G87">
            <v>30828424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"/>
  <sheetViews>
    <sheetView tabSelected="1" view="pageBreakPreview" zoomScale="85" zoomScaleNormal="100" zoomScaleSheetLayoutView="85" workbookViewId="0">
      <selection activeCell="L9" sqref="L9"/>
    </sheetView>
  </sheetViews>
  <sheetFormatPr defaultColWidth="9.28515625" defaultRowHeight="23.25" customHeight="1" x14ac:dyDescent="0.45"/>
  <cols>
    <col min="1" max="1" width="40.28515625" style="1" customWidth="1"/>
    <col min="2" max="2" width="8.140625" style="21" customWidth="1"/>
    <col min="3" max="3" width="14.42578125" style="3" customWidth="1"/>
    <col min="4" max="4" width="1" style="3" customWidth="1"/>
    <col min="5" max="5" width="13.7109375" style="3" customWidth="1"/>
    <col min="6" max="6" width="1" style="3" customWidth="1"/>
    <col min="7" max="7" width="14.42578125" style="3" customWidth="1"/>
    <col min="8" max="8" width="1" style="3" customWidth="1"/>
    <col min="9" max="9" width="13.7109375" style="3" customWidth="1"/>
    <col min="10" max="10" width="2.28515625" style="3" customWidth="1"/>
    <col min="11" max="11" width="14.7109375" style="3" customWidth="1"/>
    <col min="12" max="12" width="12.42578125" style="3" bestFit="1" customWidth="1"/>
    <col min="13" max="13" width="10.28515625" style="3" customWidth="1"/>
    <col min="14" max="17" width="9.28515625" style="3" customWidth="1"/>
    <col min="18" max="16384" width="9.28515625" style="3"/>
  </cols>
  <sheetData>
    <row r="1" spans="1:20" s="32" customFormat="1" ht="23.25" customHeight="1" x14ac:dyDescent="0.5">
      <c r="A1" s="37" t="s">
        <v>82</v>
      </c>
      <c r="B1" s="19"/>
    </row>
    <row r="2" spans="1:20" s="32" customFormat="1" ht="23.25" customHeight="1" x14ac:dyDescent="0.5">
      <c r="A2" s="37" t="s">
        <v>53</v>
      </c>
      <c r="B2" s="19"/>
    </row>
    <row r="3" spans="1:20" ht="23.25" customHeight="1" x14ac:dyDescent="0.45">
      <c r="B3" s="175"/>
      <c r="C3" s="174"/>
      <c r="D3" s="174"/>
      <c r="E3" s="174"/>
      <c r="F3" s="174"/>
      <c r="G3" s="174"/>
      <c r="H3" s="174"/>
      <c r="I3" s="174"/>
    </row>
    <row r="4" spans="1:20" ht="23.25" customHeight="1" x14ac:dyDescent="0.45">
      <c r="B4" s="175"/>
      <c r="C4" s="179" t="s">
        <v>32</v>
      </c>
      <c r="D4" s="179"/>
      <c r="E4" s="179"/>
      <c r="F4" s="173"/>
      <c r="G4" s="179" t="s">
        <v>46</v>
      </c>
      <c r="H4" s="179"/>
      <c r="I4" s="179"/>
    </row>
    <row r="5" spans="1:20" ht="23.25" customHeight="1" x14ac:dyDescent="0.45">
      <c r="B5" s="175"/>
      <c r="C5" s="174" t="s">
        <v>141</v>
      </c>
      <c r="D5" s="174"/>
      <c r="E5" s="174" t="s">
        <v>64</v>
      </c>
      <c r="F5" s="173"/>
      <c r="G5" s="174" t="s">
        <v>141</v>
      </c>
      <c r="H5" s="174"/>
      <c r="I5" s="174" t="s">
        <v>64</v>
      </c>
    </row>
    <row r="6" spans="1:20" ht="23.25" customHeight="1" x14ac:dyDescent="0.5">
      <c r="A6" s="37" t="s">
        <v>2</v>
      </c>
      <c r="B6" s="172" t="s">
        <v>1</v>
      </c>
      <c r="C6" s="23">
        <v>2562</v>
      </c>
      <c r="D6" s="23"/>
      <c r="E6" s="23">
        <v>2561</v>
      </c>
      <c r="F6" s="23"/>
      <c r="G6" s="23">
        <v>2562</v>
      </c>
      <c r="H6" s="23"/>
      <c r="I6" s="23">
        <v>2561</v>
      </c>
    </row>
    <row r="7" spans="1:20" ht="23.25" customHeight="1" x14ac:dyDescent="0.5">
      <c r="A7" s="37"/>
      <c r="B7" s="172"/>
      <c r="C7" s="23" t="s">
        <v>81</v>
      </c>
      <c r="D7" s="23"/>
      <c r="E7" s="23"/>
      <c r="F7" s="23"/>
      <c r="G7" s="23" t="s">
        <v>81</v>
      </c>
      <c r="H7" s="23"/>
      <c r="I7" s="23"/>
    </row>
    <row r="8" spans="1:20" ht="23.25" customHeight="1" x14ac:dyDescent="0.45">
      <c r="B8" s="172"/>
      <c r="C8" s="178" t="s">
        <v>73</v>
      </c>
      <c r="D8" s="178"/>
      <c r="E8" s="178"/>
      <c r="F8" s="178"/>
      <c r="G8" s="178"/>
      <c r="H8" s="178"/>
      <c r="I8" s="178"/>
    </row>
    <row r="9" spans="1:20" ht="23.25" customHeight="1" x14ac:dyDescent="0.45">
      <c r="A9" s="8" t="s">
        <v>3</v>
      </c>
      <c r="B9" s="175"/>
      <c r="C9" s="6" t="s">
        <v>67</v>
      </c>
      <c r="D9" s="6"/>
      <c r="E9" s="6" t="s">
        <v>67</v>
      </c>
      <c r="F9" s="6"/>
      <c r="G9" s="6"/>
      <c r="H9" s="6"/>
      <c r="I9" s="6"/>
    </row>
    <row r="10" spans="1:20" ht="23.25" customHeight="1" x14ac:dyDescent="0.45">
      <c r="A10" s="1" t="s">
        <v>31</v>
      </c>
      <c r="B10" s="175"/>
      <c r="C10" s="28">
        <f>129343+502</f>
        <v>129845</v>
      </c>
      <c r="D10" s="7"/>
      <c r="E10" s="7">
        <v>178368</v>
      </c>
      <c r="F10" s="7"/>
      <c r="G10" s="7">
        <v>96910</v>
      </c>
      <c r="H10" s="7"/>
      <c r="I10" s="7">
        <v>47643</v>
      </c>
      <c r="K10" s="42"/>
      <c r="L10" s="40"/>
      <c r="M10" s="42"/>
      <c r="N10" s="7"/>
      <c r="O10" s="7"/>
      <c r="P10" s="7"/>
      <c r="Q10" s="7"/>
    </row>
    <row r="11" spans="1:20" ht="23.25" customHeight="1" x14ac:dyDescent="0.45">
      <c r="A11" s="1" t="s">
        <v>132</v>
      </c>
      <c r="B11" s="175" t="s">
        <v>138</v>
      </c>
      <c r="C11" s="28">
        <f>196953-104782</f>
        <v>92171</v>
      </c>
      <c r="D11" s="7"/>
      <c r="E11" s="28">
        <f>301681-227648</f>
        <v>74033</v>
      </c>
      <c r="F11" s="7"/>
      <c r="G11" s="28">
        <f>151968-76744</f>
        <v>75224</v>
      </c>
      <c r="H11" s="7"/>
      <c r="I11" s="28">
        <f>421210-357909</f>
        <v>63301</v>
      </c>
      <c r="K11" s="42"/>
      <c r="L11" s="40"/>
      <c r="M11" s="42"/>
      <c r="N11" s="7"/>
      <c r="O11" s="7"/>
      <c r="P11" s="7"/>
      <c r="Q11" s="7"/>
      <c r="R11" s="90"/>
      <c r="T11" s="90"/>
    </row>
    <row r="12" spans="1:20" ht="23.25" customHeight="1" x14ac:dyDescent="0.45">
      <c r="A12" s="1" t="s">
        <v>131</v>
      </c>
      <c r="B12" s="175" t="s">
        <v>139</v>
      </c>
      <c r="C12" s="7">
        <f>127781-16+104782-3802</f>
        <v>228745</v>
      </c>
      <c r="D12" s="7"/>
      <c r="E12" s="28">
        <f>437467+227648+28107-437467</f>
        <v>255755</v>
      </c>
      <c r="F12" s="7"/>
      <c r="G12" s="28">
        <f>128774+76744-3802</f>
        <v>201716</v>
      </c>
      <c r="H12" s="7"/>
      <c r="I12" s="28">
        <f>265549+357909+45-265549</f>
        <v>357954</v>
      </c>
      <c r="K12" s="42"/>
      <c r="L12" s="40"/>
      <c r="M12" s="42"/>
      <c r="N12" s="7"/>
      <c r="O12" s="7"/>
      <c r="P12" s="7"/>
      <c r="Q12" s="7"/>
      <c r="R12" s="90"/>
      <c r="T12" s="90"/>
    </row>
    <row r="13" spans="1:20" ht="23.25" customHeight="1" x14ac:dyDescent="0.45">
      <c r="A13" s="1" t="s">
        <v>102</v>
      </c>
      <c r="B13" s="175">
        <v>3</v>
      </c>
      <c r="C13" s="29">
        <v>0</v>
      </c>
      <c r="D13" s="40"/>
      <c r="E13" s="29">
        <v>0</v>
      </c>
      <c r="F13" s="7"/>
      <c r="G13" s="7">
        <v>1471514</v>
      </c>
      <c r="H13" s="7"/>
      <c r="I13" s="7">
        <v>1280000</v>
      </c>
      <c r="K13" s="42"/>
      <c r="L13" s="40"/>
      <c r="M13" s="44"/>
    </row>
    <row r="14" spans="1:20" ht="23.25" customHeight="1" x14ac:dyDescent="0.45">
      <c r="A14" s="1" t="s">
        <v>52</v>
      </c>
      <c r="B14" s="175">
        <v>7</v>
      </c>
      <c r="C14" s="7">
        <v>998500</v>
      </c>
      <c r="D14" s="7"/>
      <c r="E14" s="7">
        <v>1010351</v>
      </c>
      <c r="F14" s="7"/>
      <c r="G14" s="7">
        <v>623563</v>
      </c>
      <c r="H14" s="7"/>
      <c r="I14" s="7">
        <v>623563</v>
      </c>
      <c r="K14" s="42"/>
      <c r="L14" s="40"/>
    </row>
    <row r="15" spans="1:20" ht="23.25" customHeight="1" x14ac:dyDescent="0.45">
      <c r="A15" s="1" t="s">
        <v>4</v>
      </c>
      <c r="B15" s="175"/>
      <c r="C15" s="7">
        <f>446712+16</f>
        <v>446728</v>
      </c>
      <c r="D15" s="7"/>
      <c r="E15" s="7">
        <v>437467</v>
      </c>
      <c r="F15" s="7"/>
      <c r="G15" s="7">
        <v>282448</v>
      </c>
      <c r="H15" s="7"/>
      <c r="I15" s="7">
        <v>265549</v>
      </c>
      <c r="K15" s="42"/>
      <c r="L15" s="40"/>
      <c r="M15" s="44"/>
    </row>
    <row r="16" spans="1:20" ht="23.25" customHeight="1" x14ac:dyDescent="0.45">
      <c r="A16" s="4" t="s">
        <v>5</v>
      </c>
      <c r="B16" s="175"/>
      <c r="C16" s="51">
        <f>SUM(C10:C15)</f>
        <v>1895989</v>
      </c>
      <c r="D16" s="15"/>
      <c r="E16" s="51">
        <f>SUM(E10:E15)</f>
        <v>1955974</v>
      </c>
      <c r="F16" s="15"/>
      <c r="G16" s="51">
        <f>SUM(G10:G15)</f>
        <v>2751375</v>
      </c>
      <c r="H16" s="15"/>
      <c r="I16" s="51">
        <f>SUM(I10:I15)</f>
        <v>2638010</v>
      </c>
    </row>
    <row r="17" spans="1:13" ht="23.25" customHeight="1" x14ac:dyDescent="0.45">
      <c r="B17" s="175"/>
      <c r="C17" s="9"/>
      <c r="D17" s="9"/>
      <c r="E17" s="9"/>
      <c r="F17" s="9"/>
      <c r="G17" s="9"/>
      <c r="H17" s="9"/>
      <c r="I17" s="9"/>
    </row>
    <row r="18" spans="1:13" ht="23.25" customHeight="1" x14ac:dyDescent="0.45">
      <c r="A18" s="8" t="s">
        <v>6</v>
      </c>
      <c r="B18" s="175"/>
      <c r="C18" s="9"/>
      <c r="D18" s="9"/>
      <c r="E18" s="9"/>
      <c r="F18" s="9"/>
      <c r="G18" s="9"/>
      <c r="H18" s="9"/>
      <c r="I18" s="9"/>
    </row>
    <row r="19" spans="1:13" ht="23.25" customHeight="1" x14ac:dyDescent="0.45">
      <c r="A19" s="1" t="s">
        <v>104</v>
      </c>
      <c r="B19" s="175"/>
      <c r="C19" s="28">
        <v>2500</v>
      </c>
      <c r="D19" s="9"/>
      <c r="E19" s="9">
        <v>11223</v>
      </c>
      <c r="F19" s="9"/>
      <c r="G19" s="35">
        <v>0</v>
      </c>
      <c r="H19" s="9"/>
      <c r="I19" s="9">
        <v>1021</v>
      </c>
    </row>
    <row r="20" spans="1:13" ht="23.25" customHeight="1" x14ac:dyDescent="0.45">
      <c r="A20" s="1" t="s">
        <v>105</v>
      </c>
      <c r="B20" s="175">
        <v>8</v>
      </c>
      <c r="C20" s="42">
        <v>783819</v>
      </c>
      <c r="D20" s="7"/>
      <c r="E20" s="42">
        <v>773442</v>
      </c>
      <c r="F20" s="7"/>
      <c r="G20" s="7">
        <v>683774</v>
      </c>
      <c r="H20" s="7"/>
      <c r="I20" s="7">
        <v>683774</v>
      </c>
    </row>
    <row r="21" spans="1:13" ht="23.25" customHeight="1" x14ac:dyDescent="0.45">
      <c r="A21" s="1" t="s">
        <v>47</v>
      </c>
      <c r="B21" s="175">
        <v>9</v>
      </c>
      <c r="C21" s="42">
        <v>0</v>
      </c>
      <c r="D21" s="7"/>
      <c r="E21" s="29">
        <v>0</v>
      </c>
      <c r="F21" s="7"/>
      <c r="G21" s="7">
        <v>6017375</v>
      </c>
      <c r="H21" s="7"/>
      <c r="I21" s="7">
        <v>6017375</v>
      </c>
    </row>
    <row r="22" spans="1:13" ht="23.25" customHeight="1" x14ac:dyDescent="0.45">
      <c r="A22" s="1" t="s">
        <v>66</v>
      </c>
      <c r="B22" s="175">
        <v>8</v>
      </c>
      <c r="C22" s="28">
        <v>0</v>
      </c>
      <c r="D22" s="7"/>
      <c r="E22" s="35">
        <v>0</v>
      </c>
      <c r="F22" s="7"/>
      <c r="G22" s="29">
        <v>0</v>
      </c>
      <c r="H22" s="7"/>
      <c r="I22" s="35">
        <v>0</v>
      </c>
    </row>
    <row r="23" spans="1:13" ht="23.25" customHeight="1" x14ac:dyDescent="0.45">
      <c r="A23" s="1" t="s">
        <v>106</v>
      </c>
      <c r="B23" s="175">
        <v>4</v>
      </c>
      <c r="C23" s="28">
        <v>104520</v>
      </c>
      <c r="D23" s="7"/>
      <c r="E23" s="28">
        <v>104520</v>
      </c>
      <c r="F23" s="7"/>
      <c r="G23" s="29">
        <v>0</v>
      </c>
      <c r="H23" s="7"/>
      <c r="I23" s="29">
        <v>0</v>
      </c>
    </row>
    <row r="24" spans="1:13" ht="23.25" customHeight="1" x14ac:dyDescent="0.45">
      <c r="A24" s="1" t="s">
        <v>116</v>
      </c>
      <c r="B24" s="175" t="s">
        <v>140</v>
      </c>
      <c r="C24" s="28">
        <v>4072911</v>
      </c>
      <c r="D24" s="7"/>
      <c r="E24" s="7">
        <v>4173235</v>
      </c>
      <c r="F24" s="7"/>
      <c r="G24" s="42">
        <v>4904680</v>
      </c>
      <c r="H24" s="7"/>
      <c r="I24" s="9">
        <v>4583000</v>
      </c>
      <c r="L24" s="10"/>
      <c r="M24" s="80"/>
    </row>
    <row r="25" spans="1:13" ht="23.25" customHeight="1" x14ac:dyDescent="0.45">
      <c r="A25" s="1" t="s">
        <v>54</v>
      </c>
      <c r="B25" s="175">
        <v>10</v>
      </c>
      <c r="C25" s="48">
        <f>21513810-6160</f>
        <v>21507650</v>
      </c>
      <c r="D25" s="7"/>
      <c r="E25" s="48">
        <v>21445905</v>
      </c>
      <c r="F25" s="7"/>
      <c r="G25" s="7">
        <v>10235847</v>
      </c>
      <c r="H25" s="7"/>
      <c r="I25" s="7">
        <v>10267448</v>
      </c>
    </row>
    <row r="26" spans="1:13" ht="23.25" customHeight="1" x14ac:dyDescent="0.45">
      <c r="A26" s="1" t="s">
        <v>41</v>
      </c>
      <c r="B26" s="175"/>
      <c r="C26" s="48">
        <v>490742</v>
      </c>
      <c r="D26" s="7"/>
      <c r="E26" s="48">
        <v>498901</v>
      </c>
      <c r="F26" s="7"/>
      <c r="G26" s="7">
        <v>15818</v>
      </c>
      <c r="H26" s="7"/>
      <c r="I26" s="7">
        <v>16942</v>
      </c>
    </row>
    <row r="27" spans="1:13" ht="23.25" customHeight="1" x14ac:dyDescent="0.45">
      <c r="A27" s="1" t="s">
        <v>107</v>
      </c>
      <c r="B27" s="175" t="s">
        <v>120</v>
      </c>
      <c r="C27" s="48">
        <v>99555</v>
      </c>
      <c r="D27" s="7"/>
      <c r="E27" s="48">
        <v>105905</v>
      </c>
      <c r="F27" s="7"/>
      <c r="G27" s="29">
        <v>0</v>
      </c>
      <c r="H27" s="7"/>
      <c r="I27" s="35">
        <v>0</v>
      </c>
    </row>
    <row r="28" spans="1:13" ht="23.25" customHeight="1" x14ac:dyDescent="0.45">
      <c r="A28" s="1" t="s">
        <v>49</v>
      </c>
      <c r="B28" s="175"/>
      <c r="C28" s="48">
        <v>614</v>
      </c>
      <c r="D28" s="7"/>
      <c r="E28" s="48">
        <v>1008</v>
      </c>
      <c r="F28" s="7"/>
      <c r="G28" s="7">
        <v>430</v>
      </c>
      <c r="H28" s="7"/>
      <c r="I28" s="28">
        <v>715</v>
      </c>
    </row>
    <row r="29" spans="1:13" ht="23.25" customHeight="1" x14ac:dyDescent="0.45">
      <c r="A29" s="1" t="s">
        <v>119</v>
      </c>
      <c r="B29" s="175"/>
      <c r="C29" s="48">
        <v>21758</v>
      </c>
      <c r="D29" s="7"/>
      <c r="E29" s="48">
        <v>35726</v>
      </c>
      <c r="F29" s="7"/>
      <c r="G29" s="29">
        <v>0</v>
      </c>
      <c r="H29" s="7"/>
      <c r="I29" s="28">
        <v>0</v>
      </c>
      <c r="K29" s="44">
        <f>C29-E29</f>
        <v>-13968</v>
      </c>
    </row>
    <row r="30" spans="1:13" ht="23.25" customHeight="1" x14ac:dyDescent="0.45">
      <c r="A30" s="1" t="s">
        <v>42</v>
      </c>
      <c r="B30" s="175" t="s">
        <v>140</v>
      </c>
      <c r="C30" s="48">
        <v>338493</v>
      </c>
      <c r="D30" s="7"/>
      <c r="E30" s="48">
        <f>27434+129957</f>
        <v>157391</v>
      </c>
      <c r="F30" s="7"/>
      <c r="G30" s="7">
        <f>4196</f>
        <v>4196</v>
      </c>
      <c r="H30" s="7"/>
      <c r="I30" s="7">
        <v>12003</v>
      </c>
      <c r="K30" s="10"/>
      <c r="L30" s="80"/>
    </row>
    <row r="31" spans="1:13" ht="23.25" customHeight="1" x14ac:dyDescent="0.45">
      <c r="A31" s="4" t="s">
        <v>7</v>
      </c>
      <c r="B31" s="175"/>
      <c r="C31" s="13">
        <f>SUM(C19:C30)</f>
        <v>27422562</v>
      </c>
      <c r="D31" s="15"/>
      <c r="E31" s="13">
        <f>SUM(E19:E30)</f>
        <v>27307256</v>
      </c>
      <c r="F31" s="15"/>
      <c r="G31" s="51">
        <f>SUM(G19:G30)</f>
        <v>21862120</v>
      </c>
      <c r="H31" s="15"/>
      <c r="I31" s="51">
        <f>SUM(I19:I30)</f>
        <v>21582278</v>
      </c>
    </row>
    <row r="32" spans="1:13" ht="23.25" customHeight="1" x14ac:dyDescent="0.45">
      <c r="A32" s="4"/>
      <c r="B32" s="175"/>
      <c r="C32" s="12"/>
      <c r="D32" s="15"/>
      <c r="E32" s="12"/>
      <c r="F32" s="15"/>
      <c r="G32" s="12"/>
      <c r="H32" s="15"/>
      <c r="I32" s="12"/>
    </row>
    <row r="33" spans="1:17" ht="23.25" customHeight="1" thickBot="1" x14ac:dyDescent="0.5">
      <c r="A33" s="4" t="s">
        <v>8</v>
      </c>
      <c r="B33" s="175"/>
      <c r="C33" s="14">
        <f>+C16+C31</f>
        <v>29318551</v>
      </c>
      <c r="D33" s="15"/>
      <c r="E33" s="14">
        <f>+E16++E31</f>
        <v>29263230</v>
      </c>
      <c r="F33" s="15"/>
      <c r="G33" s="14">
        <f>+G16+G31</f>
        <v>24613495</v>
      </c>
      <c r="H33" s="15"/>
      <c r="I33" s="14">
        <f>+I16+I31</f>
        <v>24220288</v>
      </c>
    </row>
    <row r="34" spans="1:17" ht="23.25" customHeight="1" thickTop="1" x14ac:dyDescent="0.45">
      <c r="A34" s="4"/>
      <c r="B34" s="175"/>
      <c r="C34" s="12"/>
      <c r="D34" s="15"/>
      <c r="E34" s="12"/>
      <c r="F34" s="15"/>
      <c r="G34" s="12"/>
      <c r="H34" s="15"/>
      <c r="I34" s="12"/>
    </row>
    <row r="35" spans="1:17" s="32" customFormat="1" ht="23.25" customHeight="1" x14ac:dyDescent="0.5">
      <c r="A35" s="37" t="s">
        <v>82</v>
      </c>
      <c r="B35" s="19"/>
    </row>
    <row r="36" spans="1:17" s="32" customFormat="1" ht="23.25" customHeight="1" x14ac:dyDescent="0.5">
      <c r="A36" s="37" t="s">
        <v>53</v>
      </c>
      <c r="B36" s="19"/>
    </row>
    <row r="37" spans="1:17" ht="23.25" customHeight="1" x14ac:dyDescent="0.45">
      <c r="A37" s="4"/>
    </row>
    <row r="38" spans="1:17" ht="23.25" customHeight="1" x14ac:dyDescent="0.45">
      <c r="B38" s="175"/>
      <c r="C38" s="179" t="s">
        <v>32</v>
      </c>
      <c r="D38" s="179"/>
      <c r="E38" s="179"/>
      <c r="F38" s="173"/>
      <c r="G38" s="179" t="s">
        <v>46</v>
      </c>
      <c r="H38" s="179"/>
      <c r="I38" s="179"/>
    </row>
    <row r="39" spans="1:17" ht="23.25" customHeight="1" x14ac:dyDescent="0.45">
      <c r="B39" s="175"/>
      <c r="C39" s="174" t="s">
        <v>141</v>
      </c>
      <c r="D39" s="174"/>
      <c r="E39" s="174" t="s">
        <v>64</v>
      </c>
      <c r="F39" s="173"/>
      <c r="G39" s="174" t="s">
        <v>141</v>
      </c>
      <c r="H39" s="174"/>
      <c r="I39" s="174" t="s">
        <v>64</v>
      </c>
    </row>
    <row r="40" spans="1:17" ht="23.25" customHeight="1" x14ac:dyDescent="0.5">
      <c r="A40" s="37" t="s">
        <v>9</v>
      </c>
      <c r="B40" s="172" t="s">
        <v>1</v>
      </c>
      <c r="C40" s="23">
        <v>2562</v>
      </c>
      <c r="D40" s="23"/>
      <c r="E40" s="23">
        <v>2561</v>
      </c>
      <c r="F40" s="23"/>
      <c r="G40" s="23">
        <v>2562</v>
      </c>
      <c r="H40" s="23"/>
      <c r="I40" s="23">
        <v>2561</v>
      </c>
    </row>
    <row r="41" spans="1:17" ht="23.25" customHeight="1" x14ac:dyDescent="0.5">
      <c r="A41" s="37"/>
      <c r="B41" s="172"/>
      <c r="C41" s="23" t="s">
        <v>81</v>
      </c>
      <c r="D41" s="23"/>
      <c r="E41" s="23"/>
      <c r="F41" s="23"/>
      <c r="G41" s="23" t="s">
        <v>81</v>
      </c>
      <c r="H41" s="23"/>
      <c r="I41" s="23"/>
    </row>
    <row r="42" spans="1:17" ht="23.25" customHeight="1" x14ac:dyDescent="0.45">
      <c r="B42" s="172"/>
      <c r="C42" s="178" t="s">
        <v>73</v>
      </c>
      <c r="D42" s="178"/>
      <c r="E42" s="178"/>
      <c r="F42" s="178"/>
      <c r="G42" s="178"/>
      <c r="H42" s="178"/>
      <c r="I42" s="178"/>
    </row>
    <row r="43" spans="1:17" ht="23.25" customHeight="1" x14ac:dyDescent="0.45">
      <c r="A43" s="8" t="s">
        <v>10</v>
      </c>
      <c r="B43" s="175"/>
      <c r="C43" s="6"/>
      <c r="D43" s="6"/>
      <c r="E43" s="6"/>
      <c r="F43" s="6"/>
      <c r="G43" s="6"/>
      <c r="H43" s="6"/>
      <c r="I43" s="6"/>
    </row>
    <row r="44" spans="1:17" ht="23.25" customHeight="1" x14ac:dyDescent="0.45">
      <c r="A44" s="1" t="s">
        <v>122</v>
      </c>
      <c r="B44" s="175">
        <v>12</v>
      </c>
      <c r="C44" s="48">
        <v>960000</v>
      </c>
      <c r="D44" s="9"/>
      <c r="E44" s="48">
        <v>520000</v>
      </c>
      <c r="F44" s="9"/>
      <c r="G44" s="48">
        <v>960000</v>
      </c>
      <c r="H44" s="9"/>
      <c r="I44" s="48">
        <v>520000</v>
      </c>
      <c r="K44" s="28"/>
      <c r="L44" s="9"/>
      <c r="M44" s="7"/>
      <c r="N44" s="9"/>
      <c r="O44" s="9"/>
      <c r="P44" s="9"/>
      <c r="Q44" s="9"/>
    </row>
    <row r="45" spans="1:17" ht="23.25" customHeight="1" x14ac:dyDescent="0.45">
      <c r="A45" s="1" t="s">
        <v>134</v>
      </c>
      <c r="B45" s="175" t="s">
        <v>140</v>
      </c>
      <c r="C45" s="48">
        <v>441618</v>
      </c>
      <c r="D45" s="9"/>
      <c r="E45" s="48">
        <f>912971-341227-65299</f>
        <v>506445</v>
      </c>
      <c r="F45" s="9"/>
      <c r="G45" s="48">
        <v>208083</v>
      </c>
      <c r="H45" s="9"/>
      <c r="I45" s="48">
        <f>39047+135777-16472</f>
        <v>158352</v>
      </c>
      <c r="K45" s="28"/>
      <c r="L45" s="9"/>
      <c r="M45" s="7"/>
      <c r="N45" s="9"/>
      <c r="O45" s="9"/>
      <c r="P45" s="9"/>
      <c r="Q45" s="9"/>
    </row>
    <row r="46" spans="1:17" ht="23.25" customHeight="1" x14ac:dyDescent="0.45">
      <c r="A46" s="1" t="s">
        <v>135</v>
      </c>
      <c r="B46" s="175" t="s">
        <v>140</v>
      </c>
      <c r="C46" s="48">
        <f>344008+502</f>
        <v>344510</v>
      </c>
      <c r="D46" s="9"/>
      <c r="E46" s="48">
        <f>1328505+213332+17417+22349-912971-213332-17417-22349</f>
        <v>415534</v>
      </c>
      <c r="F46" s="9"/>
      <c r="G46" s="48">
        <v>118315</v>
      </c>
      <c r="H46" s="9"/>
      <c r="I46" s="48">
        <f>433667+3676+13761-39047-135777-3676-13761</f>
        <v>258843</v>
      </c>
      <c r="K46" s="28"/>
      <c r="L46" s="9"/>
      <c r="M46" s="7"/>
      <c r="N46" s="9"/>
      <c r="O46" s="9"/>
      <c r="P46" s="9"/>
      <c r="Q46" s="9"/>
    </row>
    <row r="47" spans="1:17" ht="23.25" customHeight="1" x14ac:dyDescent="0.45">
      <c r="A47" s="1" t="s">
        <v>99</v>
      </c>
      <c r="B47" s="175">
        <v>3</v>
      </c>
      <c r="C47" s="28">
        <v>211149</v>
      </c>
      <c r="D47" s="9"/>
      <c r="E47" s="48">
        <v>213332</v>
      </c>
      <c r="F47" s="9"/>
      <c r="G47" s="28">
        <v>3630</v>
      </c>
      <c r="H47" s="9"/>
      <c r="I47" s="48">
        <v>3676</v>
      </c>
      <c r="K47" s="28"/>
      <c r="L47" s="9"/>
      <c r="M47" s="7"/>
      <c r="N47" s="9"/>
      <c r="O47" s="9"/>
      <c r="P47" s="9"/>
      <c r="Q47" s="9"/>
    </row>
    <row r="48" spans="1:17" ht="23.25" customHeight="1" x14ac:dyDescent="0.45">
      <c r="A48" s="1" t="s">
        <v>118</v>
      </c>
      <c r="B48" s="175" t="s">
        <v>133</v>
      </c>
      <c r="C48" s="42">
        <v>0</v>
      </c>
      <c r="D48" s="10"/>
      <c r="E48" s="29">
        <v>0</v>
      </c>
      <c r="G48" s="48">
        <v>2891468</v>
      </c>
      <c r="I48" s="9">
        <v>2860000</v>
      </c>
      <c r="K48" s="80"/>
    </row>
    <row r="49" spans="1:12" ht="23.25" customHeight="1" x14ac:dyDescent="0.45">
      <c r="A49" s="1" t="s">
        <v>108</v>
      </c>
      <c r="C49" s="42"/>
      <c r="D49" s="10"/>
      <c r="E49" s="29"/>
      <c r="G49" s="9"/>
      <c r="I49" s="9"/>
      <c r="K49" s="80"/>
    </row>
    <row r="50" spans="1:12" ht="23.25" customHeight="1" x14ac:dyDescent="0.45">
      <c r="A50" s="1" t="s">
        <v>109</v>
      </c>
      <c r="B50" s="175">
        <v>12</v>
      </c>
      <c r="C50" s="42">
        <v>800000</v>
      </c>
      <c r="D50" s="10"/>
      <c r="E50" s="42">
        <v>522869</v>
      </c>
      <c r="G50" s="35">
        <v>0</v>
      </c>
      <c r="I50" s="35">
        <v>0</v>
      </c>
    </row>
    <row r="51" spans="1:12" ht="23.25" customHeight="1" x14ac:dyDescent="0.45">
      <c r="A51" s="1" t="s">
        <v>121</v>
      </c>
      <c r="B51" s="175"/>
      <c r="C51" s="28"/>
      <c r="D51" s="9"/>
      <c r="E51" s="35"/>
      <c r="F51" s="9"/>
      <c r="G51" s="9"/>
      <c r="H51" s="9"/>
      <c r="I51" s="35"/>
    </row>
    <row r="52" spans="1:12" ht="23.25" customHeight="1" x14ac:dyDescent="0.45">
      <c r="A52" s="1" t="s">
        <v>129</v>
      </c>
      <c r="B52" s="175" t="s">
        <v>140</v>
      </c>
      <c r="C52" s="28">
        <v>234648</v>
      </c>
      <c r="D52" s="9"/>
      <c r="E52" s="28">
        <f>223645+6456</f>
        <v>230101</v>
      </c>
      <c r="F52" s="9"/>
      <c r="G52" s="9">
        <v>154941</v>
      </c>
      <c r="H52" s="9"/>
      <c r="I52" s="9">
        <f>148707+6456</f>
        <v>155163</v>
      </c>
      <c r="K52" s="44"/>
      <c r="L52" s="25"/>
    </row>
    <row r="53" spans="1:12" ht="23.25" customHeight="1" x14ac:dyDescent="0.45">
      <c r="A53" s="1" t="s">
        <v>136</v>
      </c>
      <c r="B53" s="175">
        <v>23</v>
      </c>
      <c r="C53" s="28">
        <f>434951-6160</f>
        <v>428791</v>
      </c>
      <c r="D53" s="9"/>
      <c r="E53" s="28">
        <f>341227+65299</f>
        <v>406526</v>
      </c>
      <c r="F53" s="9"/>
      <c r="G53" s="28">
        <v>8325</v>
      </c>
      <c r="H53" s="9"/>
      <c r="I53" s="28">
        <v>16472</v>
      </c>
    </row>
    <row r="54" spans="1:12" ht="23.25" customHeight="1" x14ac:dyDescent="0.45">
      <c r="A54" s="1" t="s">
        <v>117</v>
      </c>
      <c r="B54" s="175"/>
      <c r="C54" s="28">
        <v>619</v>
      </c>
      <c r="D54" s="9"/>
      <c r="E54" s="28">
        <v>17417</v>
      </c>
      <c r="F54" s="9"/>
      <c r="G54" s="28">
        <v>0</v>
      </c>
      <c r="H54" s="9"/>
      <c r="I54" s="35">
        <v>0</v>
      </c>
      <c r="K54" s="44"/>
      <c r="L54" s="25"/>
    </row>
    <row r="55" spans="1:12" ht="23.25" customHeight="1" x14ac:dyDescent="0.45">
      <c r="A55" s="1" t="s">
        <v>45</v>
      </c>
      <c r="B55" s="175"/>
      <c r="C55" s="28">
        <v>7166</v>
      </c>
      <c r="D55" s="9"/>
      <c r="E55" s="7">
        <v>30648</v>
      </c>
      <c r="F55" s="9"/>
      <c r="G55" s="10">
        <v>0</v>
      </c>
      <c r="H55" s="9"/>
      <c r="I55" s="10">
        <v>0</v>
      </c>
    </row>
    <row r="56" spans="1:12" ht="23.25" customHeight="1" x14ac:dyDescent="0.45">
      <c r="A56" s="1" t="s">
        <v>21</v>
      </c>
      <c r="B56" s="175">
        <v>23</v>
      </c>
      <c r="C56" s="28">
        <v>15122</v>
      </c>
      <c r="D56" s="9"/>
      <c r="E56" s="7">
        <v>22349</v>
      </c>
      <c r="F56" s="9"/>
      <c r="G56" s="36">
        <v>11990</v>
      </c>
      <c r="H56" s="9"/>
      <c r="I56" s="36">
        <v>13761</v>
      </c>
    </row>
    <row r="57" spans="1:12" ht="23.25" customHeight="1" x14ac:dyDescent="0.45">
      <c r="A57" s="4" t="s">
        <v>11</v>
      </c>
      <c r="B57" s="175"/>
      <c r="C57" s="13">
        <f>SUM(C44:C56)</f>
        <v>3443623</v>
      </c>
      <c r="D57" s="12"/>
      <c r="E57" s="13">
        <f>SUM(E44:E56)</f>
        <v>2885221</v>
      </c>
      <c r="F57" s="12"/>
      <c r="G57" s="13">
        <f>SUM(G44:G56)</f>
        <v>4356752</v>
      </c>
      <c r="H57" s="12"/>
      <c r="I57" s="13">
        <f>SUM(I44:I56)</f>
        <v>3986267</v>
      </c>
    </row>
    <row r="58" spans="1:12" ht="23.25" customHeight="1" x14ac:dyDescent="0.45">
      <c r="A58" s="4"/>
      <c r="B58" s="175"/>
      <c r="C58" s="9"/>
      <c r="D58" s="9"/>
      <c r="E58" s="9"/>
      <c r="F58" s="9"/>
      <c r="G58" s="9"/>
      <c r="H58" s="9"/>
      <c r="I58" s="9"/>
    </row>
    <row r="59" spans="1:12" ht="23.25" customHeight="1" x14ac:dyDescent="0.45">
      <c r="A59" s="8" t="s">
        <v>12</v>
      </c>
      <c r="B59" s="175"/>
      <c r="C59" s="9"/>
      <c r="D59" s="9"/>
      <c r="E59" s="9"/>
      <c r="F59" s="9"/>
      <c r="G59" s="9"/>
      <c r="H59" s="9"/>
      <c r="I59" s="9"/>
    </row>
    <row r="60" spans="1:12" ht="23.25" customHeight="1" x14ac:dyDescent="0.45">
      <c r="A60" s="1" t="s">
        <v>108</v>
      </c>
      <c r="B60" s="175">
        <v>12</v>
      </c>
      <c r="C60" s="28">
        <v>2531906</v>
      </c>
      <c r="D60" s="9"/>
      <c r="E60" s="9">
        <v>3322044</v>
      </c>
      <c r="F60" s="9"/>
      <c r="G60" s="35">
        <v>0</v>
      </c>
      <c r="H60" s="9"/>
      <c r="I60" s="35">
        <v>0</v>
      </c>
    </row>
    <row r="61" spans="1:12" ht="23.25" customHeight="1" x14ac:dyDescent="0.45">
      <c r="A61" s="1" t="s">
        <v>43</v>
      </c>
      <c r="B61" s="175">
        <v>12</v>
      </c>
      <c r="C61" s="82">
        <v>3844570</v>
      </c>
      <c r="D61" s="11"/>
      <c r="E61" s="11">
        <v>3842061</v>
      </c>
      <c r="F61" s="11"/>
      <c r="G61" s="11">
        <v>3844570</v>
      </c>
      <c r="H61" s="11"/>
      <c r="I61" s="11">
        <v>3842061</v>
      </c>
      <c r="K61" s="25"/>
    </row>
    <row r="62" spans="1:12" ht="23.25" customHeight="1" x14ac:dyDescent="0.45">
      <c r="A62" s="1" t="s">
        <v>100</v>
      </c>
      <c r="B62" s="175">
        <v>3</v>
      </c>
      <c r="C62" s="82">
        <v>5273225</v>
      </c>
      <c r="D62" s="11"/>
      <c r="E62" s="11">
        <v>5452819</v>
      </c>
      <c r="F62" s="11"/>
      <c r="G62" s="11">
        <v>4149777</v>
      </c>
      <c r="H62" s="11"/>
      <c r="I62" s="11">
        <v>4265779</v>
      </c>
      <c r="K62" s="44"/>
      <c r="L62" s="25"/>
    </row>
    <row r="63" spans="1:12" ht="23.25" customHeight="1" x14ac:dyDescent="0.45">
      <c r="A63" s="1" t="s">
        <v>111</v>
      </c>
      <c r="B63" s="175">
        <v>3</v>
      </c>
      <c r="C63" s="82">
        <v>212971</v>
      </c>
      <c r="D63" s="9"/>
      <c r="E63" s="11">
        <v>230611</v>
      </c>
      <c r="F63" s="9"/>
      <c r="G63" s="11">
        <v>11682</v>
      </c>
      <c r="H63" s="9"/>
      <c r="I63" s="11">
        <v>15209</v>
      </c>
    </row>
    <row r="64" spans="1:12" ht="23.25" customHeight="1" x14ac:dyDescent="0.45">
      <c r="A64" s="1" t="s">
        <v>110</v>
      </c>
      <c r="B64" s="175"/>
      <c r="C64" s="82">
        <v>1225113</v>
      </c>
      <c r="D64" s="11"/>
      <c r="E64" s="11">
        <v>1150905</v>
      </c>
      <c r="F64" s="11"/>
      <c r="G64" s="11">
        <v>830021</v>
      </c>
      <c r="H64" s="11"/>
      <c r="I64" s="11">
        <v>808309</v>
      </c>
      <c r="K64" s="44">
        <f>C64-E64</f>
        <v>74208</v>
      </c>
    </row>
    <row r="65" spans="1:12" ht="23.25" customHeight="1" x14ac:dyDescent="0.45">
      <c r="A65" s="1" t="s">
        <v>70</v>
      </c>
      <c r="B65" s="175"/>
      <c r="C65" s="26"/>
      <c r="D65" s="11"/>
      <c r="E65" s="52"/>
      <c r="F65" s="11"/>
      <c r="G65" s="52"/>
      <c r="H65" s="11"/>
      <c r="I65" s="52"/>
      <c r="K65" s="10"/>
      <c r="L65" s="44"/>
    </row>
    <row r="66" spans="1:12" ht="23.25" customHeight="1" x14ac:dyDescent="0.45">
      <c r="A66" s="1" t="s">
        <v>112</v>
      </c>
      <c r="B66" s="175">
        <v>13</v>
      </c>
      <c r="C66" s="82">
        <v>18768</v>
      </c>
      <c r="D66" s="9"/>
      <c r="E66" s="11">
        <v>17627</v>
      </c>
      <c r="F66" s="9"/>
      <c r="G66" s="11">
        <v>16608</v>
      </c>
      <c r="H66" s="9"/>
      <c r="I66" s="11">
        <v>15970</v>
      </c>
    </row>
    <row r="67" spans="1:12" ht="23.25" customHeight="1" x14ac:dyDescent="0.45">
      <c r="A67" s="1" t="s">
        <v>101</v>
      </c>
      <c r="B67" s="175"/>
      <c r="C67" s="82">
        <v>0</v>
      </c>
      <c r="D67" s="9"/>
      <c r="E67" s="11">
        <v>2140</v>
      </c>
      <c r="F67" s="9"/>
      <c r="G67" s="76">
        <v>0</v>
      </c>
      <c r="H67" s="9"/>
      <c r="I67" s="11">
        <v>2140</v>
      </c>
    </row>
    <row r="68" spans="1:12" ht="23.25" customHeight="1" x14ac:dyDescent="0.45">
      <c r="A68" s="4" t="s">
        <v>48</v>
      </c>
      <c r="B68" s="17"/>
      <c r="C68" s="13">
        <f>SUM(C60:C67)</f>
        <v>13106553</v>
      </c>
      <c r="D68" s="15"/>
      <c r="E68" s="13">
        <f>SUM(E60:E67)</f>
        <v>14018207</v>
      </c>
      <c r="F68" s="15"/>
      <c r="G68" s="13">
        <f>SUM(G60:G67)</f>
        <v>8852658</v>
      </c>
      <c r="H68" s="15"/>
      <c r="I68" s="13">
        <f>SUM(I60:I67)</f>
        <v>8949468</v>
      </c>
    </row>
    <row r="69" spans="1:12" ht="23.25" customHeight="1" x14ac:dyDescent="0.45">
      <c r="B69" s="175"/>
      <c r="C69" s="11"/>
      <c r="D69" s="9"/>
      <c r="E69" s="11"/>
      <c r="F69" s="9"/>
      <c r="G69" s="11"/>
      <c r="H69" s="9"/>
      <c r="I69" s="11"/>
    </row>
    <row r="70" spans="1:12" ht="23.25" customHeight="1" x14ac:dyDescent="0.45">
      <c r="A70" s="4" t="s">
        <v>13</v>
      </c>
      <c r="B70" s="175"/>
      <c r="C70" s="30">
        <f>+C57+C68</f>
        <v>16550176</v>
      </c>
      <c r="D70" s="15"/>
      <c r="E70" s="30">
        <f>+E57+E68</f>
        <v>16903428</v>
      </c>
      <c r="F70" s="15"/>
      <c r="G70" s="30">
        <f>+G57+G68</f>
        <v>13209410</v>
      </c>
      <c r="H70" s="15"/>
      <c r="I70" s="30">
        <f>+I57+I68</f>
        <v>12935735</v>
      </c>
    </row>
    <row r="71" spans="1:12" s="16" customFormat="1" ht="23.25" customHeight="1" x14ac:dyDescent="0.45">
      <c r="A71" s="4"/>
      <c r="B71" s="175"/>
      <c r="C71" s="11"/>
      <c r="D71" s="9"/>
      <c r="E71" s="11"/>
      <c r="F71" s="9"/>
      <c r="G71" s="9"/>
      <c r="H71" s="9"/>
      <c r="I71" s="9"/>
    </row>
    <row r="72" spans="1:12" ht="23.25" customHeight="1" x14ac:dyDescent="0.5">
      <c r="A72" s="37" t="s">
        <v>82</v>
      </c>
      <c r="B72" s="19"/>
      <c r="C72" s="32"/>
      <c r="D72" s="32"/>
      <c r="E72" s="32"/>
      <c r="F72" s="32"/>
      <c r="G72" s="32"/>
      <c r="H72" s="32"/>
      <c r="I72" s="32"/>
    </row>
    <row r="73" spans="1:12" ht="23.25" customHeight="1" x14ac:dyDescent="0.5">
      <c r="A73" s="37" t="s">
        <v>53</v>
      </c>
      <c r="B73" s="19"/>
      <c r="C73" s="32"/>
      <c r="D73" s="32"/>
      <c r="E73" s="32"/>
      <c r="F73" s="32"/>
      <c r="G73" s="32"/>
      <c r="H73" s="32"/>
      <c r="I73" s="32"/>
    </row>
    <row r="74" spans="1:12" ht="23.25" customHeight="1" x14ac:dyDescent="0.45">
      <c r="A74" s="4"/>
    </row>
    <row r="75" spans="1:12" s="32" customFormat="1" ht="23.25" customHeight="1" x14ac:dyDescent="0.5">
      <c r="A75" s="1"/>
      <c r="B75" s="175"/>
      <c r="C75" s="179" t="s">
        <v>32</v>
      </c>
      <c r="D75" s="179"/>
      <c r="E75" s="179"/>
      <c r="F75" s="173"/>
      <c r="G75" s="179" t="s">
        <v>46</v>
      </c>
      <c r="H75" s="179"/>
      <c r="I75" s="179"/>
    </row>
    <row r="76" spans="1:12" s="32" customFormat="1" ht="23.25" customHeight="1" x14ac:dyDescent="0.5">
      <c r="A76" s="1"/>
      <c r="B76" s="175"/>
      <c r="C76" s="174" t="s">
        <v>141</v>
      </c>
      <c r="D76" s="174"/>
      <c r="E76" s="174" t="s">
        <v>64</v>
      </c>
      <c r="F76" s="173"/>
      <c r="G76" s="174" t="s">
        <v>141</v>
      </c>
      <c r="H76" s="174"/>
      <c r="I76" s="174" t="s">
        <v>64</v>
      </c>
    </row>
    <row r="77" spans="1:12" ht="23.25" customHeight="1" x14ac:dyDescent="0.5">
      <c r="A77" s="37" t="s">
        <v>9</v>
      </c>
      <c r="B77" s="172"/>
      <c r="C77" s="23">
        <v>2562</v>
      </c>
      <c r="D77" s="23"/>
      <c r="E77" s="23">
        <v>2561</v>
      </c>
      <c r="F77" s="23"/>
      <c r="G77" s="23">
        <v>2562</v>
      </c>
      <c r="H77" s="23"/>
      <c r="I77" s="23">
        <v>2561</v>
      </c>
    </row>
    <row r="78" spans="1:12" ht="23.25" customHeight="1" x14ac:dyDescent="0.5">
      <c r="A78" s="37"/>
      <c r="B78" s="172"/>
      <c r="C78" s="23" t="s">
        <v>81</v>
      </c>
      <c r="D78" s="23"/>
      <c r="E78" s="23"/>
      <c r="F78" s="23"/>
      <c r="G78" s="23" t="s">
        <v>81</v>
      </c>
      <c r="H78" s="23"/>
      <c r="I78" s="23"/>
    </row>
    <row r="79" spans="1:12" ht="23.25" customHeight="1" x14ac:dyDescent="0.45">
      <c r="B79" s="172"/>
      <c r="C79" s="178" t="s">
        <v>73</v>
      </c>
      <c r="D79" s="178"/>
      <c r="E79" s="178"/>
      <c r="F79" s="178"/>
      <c r="G79" s="178"/>
      <c r="H79" s="178"/>
      <c r="I79" s="178"/>
    </row>
    <row r="80" spans="1:12" ht="23.25" customHeight="1" x14ac:dyDescent="0.45">
      <c r="A80" s="8" t="s">
        <v>14</v>
      </c>
      <c r="B80" s="175"/>
      <c r="C80" s="6"/>
      <c r="D80" s="6"/>
      <c r="E80" s="6"/>
      <c r="F80" s="6"/>
      <c r="G80" s="6"/>
      <c r="H80" s="6"/>
      <c r="I80" s="6"/>
    </row>
    <row r="81" spans="1:12" ht="23.25" customHeight="1" x14ac:dyDescent="0.45">
      <c r="A81" s="1" t="s">
        <v>0</v>
      </c>
      <c r="B81" s="175"/>
      <c r="C81" s="9"/>
      <c r="D81" s="9"/>
      <c r="E81" s="9"/>
      <c r="F81" s="9"/>
      <c r="G81" s="9"/>
      <c r="H81" s="9"/>
      <c r="I81" s="9"/>
    </row>
    <row r="82" spans="1:12" ht="23.25" customHeight="1" thickBot="1" x14ac:dyDescent="0.5">
      <c r="A82" s="1" t="s">
        <v>33</v>
      </c>
      <c r="B82" s="175"/>
      <c r="C82" s="31">
        <v>6535484</v>
      </c>
      <c r="D82" s="9"/>
      <c r="E82" s="31">
        <v>6535484</v>
      </c>
      <c r="F82" s="9"/>
      <c r="G82" s="31">
        <v>6535484</v>
      </c>
      <c r="H82" s="9"/>
      <c r="I82" s="31">
        <v>6535484</v>
      </c>
    </row>
    <row r="83" spans="1:12" ht="23.25" customHeight="1" thickTop="1" x14ac:dyDescent="0.45">
      <c r="A83" s="1" t="s">
        <v>34</v>
      </c>
      <c r="B83" s="175"/>
      <c r="C83" s="9">
        <v>6499830</v>
      </c>
      <c r="D83" s="9"/>
      <c r="E83" s="9">
        <v>6499830</v>
      </c>
      <c r="F83" s="9"/>
      <c r="G83" s="9">
        <v>6499830</v>
      </c>
      <c r="H83" s="9"/>
      <c r="I83" s="9">
        <v>6499830</v>
      </c>
    </row>
    <row r="84" spans="1:12" ht="23.25" customHeight="1" x14ac:dyDescent="0.45">
      <c r="A84" s="1" t="s">
        <v>55</v>
      </c>
      <c r="B84" s="175"/>
      <c r="C84" s="9">
        <v>1532321</v>
      </c>
      <c r="D84" s="9"/>
      <c r="E84" s="9">
        <v>1532321</v>
      </c>
      <c r="F84" s="9"/>
      <c r="G84" s="9">
        <v>1532321</v>
      </c>
      <c r="H84" s="9"/>
      <c r="I84" s="9">
        <v>1532321</v>
      </c>
    </row>
    <row r="85" spans="1:12" ht="23.25" customHeight="1" x14ac:dyDescent="0.45">
      <c r="A85" s="1" t="s">
        <v>113</v>
      </c>
      <c r="B85" s="175"/>
      <c r="C85" s="9"/>
      <c r="D85" s="9"/>
      <c r="E85" s="9"/>
      <c r="F85" s="9"/>
      <c r="G85" s="9"/>
      <c r="H85" s="9"/>
      <c r="I85" s="9"/>
    </row>
    <row r="86" spans="1:12" ht="23.25" customHeight="1" x14ac:dyDescent="0.45">
      <c r="A86" s="1" t="s">
        <v>114</v>
      </c>
      <c r="B86" s="175"/>
      <c r="C86" s="9">
        <v>-423185</v>
      </c>
      <c r="D86" s="9"/>
      <c r="E86" s="9">
        <v>-423185</v>
      </c>
      <c r="F86" s="9"/>
      <c r="G86" s="35">
        <v>0</v>
      </c>
      <c r="H86" s="9"/>
      <c r="I86" s="35">
        <v>0</v>
      </c>
    </row>
    <row r="87" spans="1:12" ht="23.25" customHeight="1" x14ac:dyDescent="0.45">
      <c r="A87" s="1" t="s">
        <v>115</v>
      </c>
      <c r="B87" s="175"/>
      <c r="C87" s="9">
        <v>-129337</v>
      </c>
      <c r="D87" s="9"/>
      <c r="E87" s="9">
        <v>-129337</v>
      </c>
      <c r="F87" s="9"/>
      <c r="G87" s="35">
        <v>0</v>
      </c>
      <c r="H87" s="9"/>
      <c r="I87" s="35">
        <v>0</v>
      </c>
    </row>
    <row r="88" spans="1:12" ht="23.25" customHeight="1" x14ac:dyDescent="0.45">
      <c r="A88" s="1" t="s">
        <v>15</v>
      </c>
      <c r="B88" s="175"/>
      <c r="C88" s="9"/>
      <c r="D88" s="9"/>
      <c r="E88" s="9"/>
      <c r="F88" s="9"/>
      <c r="G88" s="9"/>
      <c r="H88" s="9"/>
      <c r="I88" s="9"/>
    </row>
    <row r="89" spans="1:12" ht="23.25" customHeight="1" x14ac:dyDescent="0.45">
      <c r="A89" s="1" t="s">
        <v>65</v>
      </c>
      <c r="B89" s="175"/>
      <c r="C89" s="9"/>
      <c r="D89" s="9"/>
      <c r="E89" s="9"/>
      <c r="F89" s="9"/>
      <c r="G89" s="9"/>
      <c r="H89" s="9"/>
      <c r="I89" s="9"/>
    </row>
    <row r="90" spans="1:12" ht="23.25" customHeight="1" x14ac:dyDescent="0.45">
      <c r="A90" s="1" t="s">
        <v>56</v>
      </c>
      <c r="B90" s="175"/>
      <c r="C90" s="47">
        <v>503800</v>
      </c>
      <c r="D90" s="11"/>
      <c r="E90" s="47">
        <v>503800</v>
      </c>
      <c r="F90" s="11"/>
      <c r="G90" s="47">
        <v>366900</v>
      </c>
      <c r="H90" s="9"/>
      <c r="I90" s="47">
        <v>366900</v>
      </c>
    </row>
    <row r="91" spans="1:12" ht="23.25" customHeight="1" x14ac:dyDescent="0.45">
      <c r="A91" s="33" t="s">
        <v>44</v>
      </c>
      <c r="B91" s="175"/>
      <c r="C91" s="11">
        <f>3997838-3802</f>
        <v>3994036</v>
      </c>
      <c r="D91" s="11"/>
      <c r="E91" s="11">
        <v>3627201</v>
      </c>
      <c r="F91" s="11"/>
      <c r="G91" s="11">
        <f>3008836-3802</f>
        <v>3005034</v>
      </c>
      <c r="H91" s="11"/>
      <c r="I91" s="11">
        <v>2885502</v>
      </c>
      <c r="K91" s="10"/>
      <c r="L91" s="80"/>
    </row>
    <row r="92" spans="1:12" ht="23.25" customHeight="1" x14ac:dyDescent="0.45">
      <c r="A92" s="1" t="s">
        <v>57</v>
      </c>
      <c r="B92" s="175"/>
      <c r="C92" s="5">
        <v>-24927</v>
      </c>
      <c r="D92" s="9"/>
      <c r="E92" s="5">
        <v>-24927</v>
      </c>
      <c r="F92" s="9"/>
      <c r="G92" s="74">
        <v>0</v>
      </c>
      <c r="H92" s="9"/>
      <c r="I92" s="77">
        <v>0</v>
      </c>
    </row>
    <row r="93" spans="1:12" ht="23.25" customHeight="1" x14ac:dyDescent="0.45">
      <c r="A93" s="4" t="s">
        <v>68</v>
      </c>
      <c r="B93" s="175"/>
      <c r="C93" s="12">
        <f>SUM(C83:C92)</f>
        <v>11952538</v>
      </c>
      <c r="D93" s="12"/>
      <c r="E93" s="12">
        <f>SUM(E83:E92)</f>
        <v>11585703</v>
      </c>
      <c r="F93" s="12"/>
      <c r="G93" s="12">
        <f>SUM(G83:G92)</f>
        <v>11404085</v>
      </c>
      <c r="H93" s="12"/>
      <c r="I93" s="12">
        <f>SUM(I83:I92)</f>
        <v>11284553</v>
      </c>
      <c r="L93" s="25"/>
    </row>
    <row r="94" spans="1:12" ht="23.25" customHeight="1" x14ac:dyDescent="0.45">
      <c r="A94" s="1" t="s">
        <v>58</v>
      </c>
      <c r="B94" s="175"/>
      <c r="C94" s="27">
        <v>815837</v>
      </c>
      <c r="D94" s="9"/>
      <c r="E94" s="27">
        <v>774099</v>
      </c>
      <c r="F94" s="9"/>
      <c r="G94" s="29">
        <v>0</v>
      </c>
      <c r="H94" s="9"/>
      <c r="I94" s="29">
        <v>0</v>
      </c>
      <c r="L94" s="86"/>
    </row>
    <row r="95" spans="1:12" ht="23.25" customHeight="1" x14ac:dyDescent="0.45">
      <c r="A95" s="4" t="s">
        <v>16</v>
      </c>
      <c r="B95" s="175"/>
      <c r="C95" s="13">
        <f>SUM(C93:C94)</f>
        <v>12768375</v>
      </c>
      <c r="D95" s="9"/>
      <c r="E95" s="13">
        <f>SUM(E93:E94)</f>
        <v>12359802</v>
      </c>
      <c r="F95" s="9"/>
      <c r="G95" s="13">
        <f>SUM(G93:G94)</f>
        <v>11404085</v>
      </c>
      <c r="H95" s="9"/>
      <c r="I95" s="13">
        <f>SUM(I93:I94)</f>
        <v>11284553</v>
      </c>
    </row>
    <row r="96" spans="1:12" ht="23.25" customHeight="1" x14ac:dyDescent="0.45">
      <c r="A96" s="4"/>
      <c r="B96" s="175"/>
      <c r="C96" s="12"/>
      <c r="D96" s="9"/>
      <c r="E96" s="12"/>
      <c r="F96" s="9"/>
      <c r="G96" s="12"/>
      <c r="H96" s="9"/>
      <c r="I96" s="12"/>
    </row>
    <row r="97" spans="1:9" ht="23.25" customHeight="1" thickBot="1" x14ac:dyDescent="0.5">
      <c r="A97" s="4" t="s">
        <v>17</v>
      </c>
      <c r="B97" s="175"/>
      <c r="C97" s="14">
        <f>+C70+C95</f>
        <v>29318551</v>
      </c>
      <c r="D97" s="11"/>
      <c r="E97" s="14">
        <f>+E70+E95</f>
        <v>29263230</v>
      </c>
      <c r="F97" s="11"/>
      <c r="G97" s="14">
        <f>+G70+G95</f>
        <v>24613495</v>
      </c>
      <c r="H97" s="11"/>
      <c r="I97" s="14">
        <f>+I70+I95</f>
        <v>24220288</v>
      </c>
    </row>
    <row r="98" spans="1:9" ht="23.25" customHeight="1" thickTop="1" x14ac:dyDescent="0.45">
      <c r="A98" s="4"/>
      <c r="B98" s="175"/>
      <c r="C98" s="49"/>
      <c r="D98" s="34"/>
      <c r="E98" s="49"/>
      <c r="F98" s="34"/>
      <c r="G98" s="35"/>
      <c r="H98" s="9"/>
      <c r="I98" s="35"/>
    </row>
    <row r="99" spans="1:9" ht="23.25" customHeight="1" x14ac:dyDescent="0.45">
      <c r="C99" s="25">
        <f>C33-C97</f>
        <v>0</v>
      </c>
      <c r="E99" s="25">
        <f>E33-E97</f>
        <v>0</v>
      </c>
      <c r="G99" s="25">
        <f>G33-G97</f>
        <v>0</v>
      </c>
      <c r="I99" s="25">
        <f>I33-I97</f>
        <v>0</v>
      </c>
    </row>
    <row r="100" spans="1:9" ht="23.25" customHeight="1" x14ac:dyDescent="0.45">
      <c r="C100" s="25"/>
      <c r="E100" s="25"/>
    </row>
  </sheetData>
  <mergeCells count="9">
    <mergeCell ref="C79:I79"/>
    <mergeCell ref="G4:I4"/>
    <mergeCell ref="G38:I38"/>
    <mergeCell ref="C42:I42"/>
    <mergeCell ref="G75:I75"/>
    <mergeCell ref="C8:I8"/>
    <mergeCell ref="C4:E4"/>
    <mergeCell ref="C38:E38"/>
    <mergeCell ref="C75:E75"/>
  </mergeCells>
  <phoneticPr fontId="4" type="noConversion"/>
  <pageMargins left="0.8" right="0.8" top="0.48" bottom="0.5" header="0.5" footer="0.5"/>
  <pageSetup paperSize="9" scale="84" firstPageNumber="3" fitToHeight="0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หมายเหตุประกอบงบการเงินเป็นส่วนหนึ่งของงบการเงินระหว่างกาลนี้&amp;16
&amp;C&amp;15
&amp;P&amp;R&amp;"Angsana New,Italic"&amp;15
</oddFooter>
  </headerFooter>
  <rowBreaks count="2" manualBreakCount="2">
    <brk id="34" max="16383" man="1"/>
    <brk id="7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5B0E-8D91-425B-B550-E48F62B12CF3}">
  <sheetPr>
    <tabColor rgb="FF00FFFF"/>
    <pageSetUpPr fitToPage="1"/>
  </sheetPr>
  <dimension ref="A1:AN116"/>
  <sheetViews>
    <sheetView view="pageBreakPreview" topLeftCell="A79" zoomScale="80" zoomScaleNormal="70" zoomScaleSheetLayoutView="80" workbookViewId="0">
      <selection activeCell="U81" sqref="U81"/>
    </sheetView>
  </sheetViews>
  <sheetFormatPr defaultColWidth="9.28515625" defaultRowHeight="23.25" customHeight="1" x14ac:dyDescent="0.45"/>
  <cols>
    <col min="1" max="1" width="45.5703125" style="1" customWidth="1"/>
    <col min="2" max="2" width="9.5703125" style="54" bestFit="1" customWidth="1"/>
    <col min="3" max="3" width="12.7109375" style="3" customWidth="1"/>
    <col min="4" max="4" width="0.7109375" style="3" customWidth="1"/>
    <col min="5" max="5" width="12.7109375" style="3" customWidth="1"/>
    <col min="6" max="6" width="0.7109375" style="3" customWidth="1"/>
    <col min="7" max="7" width="12.7109375" style="3" customWidth="1"/>
    <col min="8" max="8" width="0.7109375" style="3" customWidth="1"/>
    <col min="9" max="9" width="12.7109375" style="3" customWidth="1"/>
    <col min="10" max="10" width="12.7109375" style="36" hidden="1" customWidth="1"/>
    <col min="11" max="15" width="9.28515625" style="3" hidden="1" customWidth="1"/>
    <col min="16" max="16" width="9.7109375" style="3" hidden="1" customWidth="1"/>
    <col min="17" max="17" width="10.28515625" style="3" hidden="1" customWidth="1"/>
    <col min="18" max="18" width="9.28515625" style="3" hidden="1" customWidth="1"/>
    <col min="19" max="19" width="11.5703125" style="3" bestFit="1" customWidth="1"/>
    <col min="20" max="20" width="2.28515625" style="3" customWidth="1"/>
    <col min="21" max="21" width="12.28515625" style="3" bestFit="1" customWidth="1"/>
    <col min="22" max="23" width="9.28515625" style="3"/>
    <col min="24" max="24" width="31.5703125" style="3" hidden="1" customWidth="1"/>
    <col min="25" max="25" width="16.42578125" style="3" hidden="1" customWidth="1"/>
    <col min="26" max="39" width="0" style="3" hidden="1" customWidth="1"/>
    <col min="40" max="40" width="9.28515625" style="3" hidden="1" customWidth="1"/>
    <col min="41" max="16384" width="9.28515625" style="3"/>
  </cols>
  <sheetData>
    <row r="1" spans="1:19" ht="23.25" customHeight="1" x14ac:dyDescent="0.5">
      <c r="A1" s="37" t="s">
        <v>82</v>
      </c>
    </row>
    <row r="2" spans="1:19" ht="23.25" customHeight="1" x14ac:dyDescent="0.5">
      <c r="A2" s="37" t="s">
        <v>71</v>
      </c>
      <c r="B2" s="55"/>
      <c r="C2" s="20"/>
      <c r="D2" s="169"/>
      <c r="E2" s="20"/>
    </row>
    <row r="3" spans="1:19" ht="15" customHeight="1" x14ac:dyDescent="0.45"/>
    <row r="4" spans="1:19" ht="23.25" customHeight="1" x14ac:dyDescent="0.45">
      <c r="C4" s="179" t="s">
        <v>32</v>
      </c>
      <c r="D4" s="179"/>
      <c r="E4" s="179"/>
      <c r="F4" s="169"/>
      <c r="G4" s="179" t="s">
        <v>46</v>
      </c>
      <c r="H4" s="179"/>
      <c r="I4" s="179"/>
    </row>
    <row r="5" spans="1:19" ht="23.25" customHeight="1" x14ac:dyDescent="0.45">
      <c r="C5" s="180" t="s">
        <v>72</v>
      </c>
      <c r="D5" s="180"/>
      <c r="E5" s="180"/>
      <c r="F5" s="170"/>
      <c r="G5" s="180" t="s">
        <v>72</v>
      </c>
      <c r="H5" s="180"/>
      <c r="I5" s="180"/>
    </row>
    <row r="6" spans="1:19" ht="23.25" customHeight="1" x14ac:dyDescent="0.45">
      <c r="C6" s="180" t="s">
        <v>143</v>
      </c>
      <c r="D6" s="180"/>
      <c r="E6" s="180"/>
      <c r="F6" s="170"/>
      <c r="G6" s="180" t="s">
        <v>143</v>
      </c>
      <c r="H6" s="180"/>
      <c r="I6" s="180"/>
    </row>
    <row r="7" spans="1:19" ht="23.25" customHeight="1" x14ac:dyDescent="0.45">
      <c r="A7" s="4"/>
      <c r="B7" s="56" t="s">
        <v>1</v>
      </c>
      <c r="C7" s="170">
        <v>2562</v>
      </c>
      <c r="D7" s="170"/>
      <c r="E7" s="170">
        <v>2561</v>
      </c>
      <c r="F7" s="170"/>
      <c r="G7" s="170">
        <v>2562</v>
      </c>
      <c r="H7" s="170"/>
      <c r="I7" s="170">
        <v>2561</v>
      </c>
    </row>
    <row r="8" spans="1:19" ht="23.25" customHeight="1" x14ac:dyDescent="0.45">
      <c r="B8" s="56"/>
      <c r="C8" s="181" t="s">
        <v>73</v>
      </c>
      <c r="D8" s="181"/>
      <c r="E8" s="181"/>
      <c r="F8" s="181"/>
      <c r="G8" s="181"/>
      <c r="H8" s="181"/>
      <c r="I8" s="181"/>
    </row>
    <row r="9" spans="1:19" ht="23.25" customHeight="1" x14ac:dyDescent="0.45">
      <c r="A9" s="8" t="s">
        <v>24</v>
      </c>
      <c r="C9" s="6"/>
      <c r="D9" s="6"/>
      <c r="E9" s="6"/>
      <c r="F9" s="6"/>
      <c r="G9" s="6"/>
      <c r="H9" s="6"/>
      <c r="I9" s="6"/>
      <c r="J9" s="36" t="s">
        <v>123</v>
      </c>
      <c r="Q9" s="3" t="s">
        <v>137</v>
      </c>
    </row>
    <row r="10" spans="1:19" ht="23.25" customHeight="1" x14ac:dyDescent="0.45">
      <c r="A10" s="1" t="s">
        <v>153</v>
      </c>
      <c r="B10" s="54" t="s">
        <v>154</v>
      </c>
      <c r="C10" s="87">
        <f>303131-3802</f>
        <v>299329</v>
      </c>
      <c r="D10" s="6"/>
      <c r="E10" s="28">
        <f>317886-489</f>
        <v>317397</v>
      </c>
      <c r="F10" s="6"/>
      <c r="G10" s="28">
        <f>81973-3802</f>
        <v>78171</v>
      </c>
      <c r="H10" s="6"/>
      <c r="I10" s="28">
        <f>72812-489</f>
        <v>72323</v>
      </c>
      <c r="K10" s="44"/>
      <c r="P10" s="44">
        <f>G68-Q10</f>
        <v>148150</v>
      </c>
      <c r="Q10" s="36">
        <v>74314</v>
      </c>
      <c r="R10" s="36">
        <f>G10-P10</f>
        <v>-69979</v>
      </c>
      <c r="S10" s="36"/>
    </row>
    <row r="11" spans="1:19" ht="23.25" customHeight="1" x14ac:dyDescent="0.45">
      <c r="A11" s="1" t="s">
        <v>25</v>
      </c>
      <c r="B11" s="54">
        <v>14</v>
      </c>
      <c r="C11" s="28">
        <v>22239</v>
      </c>
      <c r="D11" s="9"/>
      <c r="E11" s="9">
        <v>49214</v>
      </c>
      <c r="F11" s="9"/>
      <c r="G11" s="28">
        <v>0</v>
      </c>
      <c r="H11" s="9"/>
      <c r="I11" s="28">
        <v>0</v>
      </c>
      <c r="K11" s="44"/>
      <c r="P11" s="44">
        <f>G69-Q11</f>
        <v>0</v>
      </c>
      <c r="Q11" s="36">
        <v>0</v>
      </c>
      <c r="R11" s="36">
        <f>G11-P11</f>
        <v>0</v>
      </c>
    </row>
    <row r="12" spans="1:19" ht="23.25" customHeight="1" x14ac:dyDescent="0.45">
      <c r="A12" s="1" t="s">
        <v>144</v>
      </c>
      <c r="C12" s="28"/>
      <c r="D12" s="9"/>
      <c r="E12" s="9"/>
      <c r="F12" s="9"/>
      <c r="G12" s="28"/>
      <c r="H12" s="9"/>
      <c r="I12" s="28"/>
      <c r="K12" s="44"/>
      <c r="P12" s="44"/>
      <c r="Q12" s="36"/>
      <c r="R12" s="36"/>
    </row>
    <row r="13" spans="1:19" ht="23.25" customHeight="1" x14ac:dyDescent="0.45">
      <c r="A13" s="1" t="s">
        <v>145</v>
      </c>
      <c r="B13" s="54">
        <v>10</v>
      </c>
      <c r="C13" s="28">
        <v>2070</v>
      </c>
      <c r="D13" s="9"/>
      <c r="E13" s="9">
        <v>75191</v>
      </c>
      <c r="F13" s="9"/>
      <c r="G13" s="28">
        <v>0</v>
      </c>
      <c r="H13" s="9"/>
      <c r="I13" s="28">
        <v>17144</v>
      </c>
      <c r="K13" s="44"/>
      <c r="P13" s="44"/>
      <c r="Q13" s="36"/>
      <c r="R13" s="36"/>
    </row>
    <row r="14" spans="1:19" ht="23.25" customHeight="1" x14ac:dyDescent="0.45">
      <c r="A14" s="1" t="s">
        <v>83</v>
      </c>
      <c r="B14" s="54" t="s">
        <v>140</v>
      </c>
      <c r="C14" s="28">
        <v>33274</v>
      </c>
      <c r="D14" s="9"/>
      <c r="E14" s="9">
        <f>66347</f>
        <v>66347</v>
      </c>
      <c r="F14" s="9"/>
      <c r="G14" s="28">
        <v>69569</v>
      </c>
      <c r="H14" s="9"/>
      <c r="I14" s="28">
        <f>81854-17369</f>
        <v>64485</v>
      </c>
      <c r="K14" s="44"/>
      <c r="P14" s="44">
        <f>G72-Q14</f>
        <v>119656</v>
      </c>
      <c r="Q14" s="36">
        <v>80913</v>
      </c>
      <c r="R14" s="36">
        <f>G14-P14</f>
        <v>-50087</v>
      </c>
    </row>
    <row r="15" spans="1:19" ht="23.25" customHeight="1" x14ac:dyDescent="0.45">
      <c r="A15" s="1" t="s">
        <v>26</v>
      </c>
      <c r="B15" s="54" t="s">
        <v>140</v>
      </c>
      <c r="C15" s="88">
        <f>69542-(60433*0)-(3925*0)</f>
        <v>69542</v>
      </c>
      <c r="D15" s="9"/>
      <c r="E15" s="5">
        <f>2137+489</f>
        <v>2626</v>
      </c>
      <c r="F15" s="9"/>
      <c r="G15" s="75">
        <f>75674-(60433*0)</f>
        <v>75674</v>
      </c>
      <c r="H15" s="9"/>
      <c r="I15" s="75">
        <f>90+489</f>
        <v>579</v>
      </c>
      <c r="K15" s="44"/>
      <c r="P15" s="44">
        <f>G73-Q15</f>
        <v>89853</v>
      </c>
      <c r="Q15" s="36">
        <v>15095</v>
      </c>
      <c r="R15" s="36">
        <f>G15-P15</f>
        <v>-14179</v>
      </c>
    </row>
    <row r="16" spans="1:19" ht="23.25" customHeight="1" x14ac:dyDescent="0.45">
      <c r="A16" s="4" t="s">
        <v>27</v>
      </c>
      <c r="C16" s="83">
        <f>SUM(C10:C15)</f>
        <v>426454</v>
      </c>
      <c r="D16" s="15"/>
      <c r="E16" s="30">
        <f>SUM(E10:E15)</f>
        <v>510775</v>
      </c>
      <c r="F16" s="15"/>
      <c r="G16" s="30">
        <f>SUM(G10:G15)</f>
        <v>223414</v>
      </c>
      <c r="H16" s="15"/>
      <c r="I16" s="30">
        <f>SUM(I10:I15)</f>
        <v>154531</v>
      </c>
      <c r="J16" s="30">
        <f>SUM(J10:J15)</f>
        <v>0</v>
      </c>
    </row>
    <row r="17" spans="1:21" ht="23.25" customHeight="1" x14ac:dyDescent="0.45">
      <c r="C17" s="9"/>
      <c r="D17" s="9"/>
      <c r="E17" s="9"/>
      <c r="F17" s="9"/>
      <c r="G17" s="9"/>
      <c r="H17" s="9"/>
      <c r="I17" s="9"/>
    </row>
    <row r="18" spans="1:21" ht="23.25" customHeight="1" x14ac:dyDescent="0.45">
      <c r="A18" s="8" t="s">
        <v>28</v>
      </c>
      <c r="C18" s="57"/>
      <c r="D18" s="9"/>
      <c r="E18" s="57"/>
      <c r="F18" s="9"/>
      <c r="G18" s="57"/>
      <c r="H18" s="9"/>
      <c r="I18" s="57"/>
    </row>
    <row r="19" spans="1:21" ht="23.25" customHeight="1" x14ac:dyDescent="0.45">
      <c r="A19" s="1" t="s">
        <v>155</v>
      </c>
      <c r="B19" s="54" t="s">
        <v>140</v>
      </c>
      <c r="C19" s="36">
        <v>96287</v>
      </c>
      <c r="D19" s="9"/>
      <c r="E19" s="9">
        <f>116687-12024+4438</f>
        <v>109101</v>
      </c>
      <c r="F19" s="9"/>
      <c r="G19" s="28">
        <v>9251</v>
      </c>
      <c r="H19" s="9"/>
      <c r="I19" s="9">
        <f>33162-24313+4438</f>
        <v>13287</v>
      </c>
      <c r="J19" s="36">
        <v>147683</v>
      </c>
      <c r="K19" s="44">
        <f>G19-I19</f>
        <v>-4036</v>
      </c>
      <c r="L19" s="81">
        <f>G19/G10</f>
        <v>0.11834311957119648</v>
      </c>
      <c r="M19" s="80">
        <f>I19/I10</f>
        <v>0.1837174895952878</v>
      </c>
      <c r="O19" s="3">
        <v>5583</v>
      </c>
      <c r="P19" s="44">
        <f>G77-Q19</f>
        <v>8257</v>
      </c>
      <c r="Q19" s="36">
        <v>24365</v>
      </c>
      <c r="R19" s="36">
        <f t="shared" ref="R19:R26" si="0">G19-P19</f>
        <v>994</v>
      </c>
    </row>
    <row r="20" spans="1:21" ht="23.25" customHeight="1" x14ac:dyDescent="0.45">
      <c r="A20" s="1" t="s">
        <v>29</v>
      </c>
      <c r="C20" s="28">
        <v>7527</v>
      </c>
      <c r="D20" s="9"/>
      <c r="E20" s="9">
        <v>15983</v>
      </c>
      <c r="F20" s="9"/>
      <c r="G20" s="35">
        <v>0</v>
      </c>
      <c r="H20" s="9"/>
      <c r="I20" s="28">
        <v>0</v>
      </c>
      <c r="P20" s="44">
        <f>G78-Q20</f>
        <v>0</v>
      </c>
      <c r="Q20" s="36">
        <v>0</v>
      </c>
      <c r="R20" s="36">
        <f t="shared" si="0"/>
        <v>0</v>
      </c>
    </row>
    <row r="21" spans="1:21" ht="23.25" customHeight="1" x14ac:dyDescent="0.45">
      <c r="A21" s="1" t="s">
        <v>126</v>
      </c>
      <c r="C21" s="28">
        <v>1962</v>
      </c>
      <c r="D21" s="9"/>
      <c r="E21" s="9">
        <v>10709</v>
      </c>
      <c r="F21" s="9"/>
      <c r="G21" s="9">
        <v>66</v>
      </c>
      <c r="H21" s="11"/>
      <c r="I21" s="9">
        <v>1644</v>
      </c>
      <c r="J21" s="36">
        <v>6559</v>
      </c>
      <c r="P21" s="44">
        <f>G79-Q21</f>
        <v>183</v>
      </c>
      <c r="Q21" s="36">
        <v>92</v>
      </c>
      <c r="R21" s="36">
        <f t="shared" si="0"/>
        <v>-117</v>
      </c>
    </row>
    <row r="22" spans="1:21" ht="23.25" customHeight="1" x14ac:dyDescent="0.45">
      <c r="A22" s="1" t="s">
        <v>50</v>
      </c>
      <c r="B22" s="54" t="s">
        <v>140</v>
      </c>
      <c r="C22" s="82">
        <f>91409</f>
        <v>91409</v>
      </c>
      <c r="D22" s="11"/>
      <c r="E22" s="11">
        <f>48229+12024-4438</f>
        <v>55815</v>
      </c>
      <c r="F22" s="11"/>
      <c r="G22" s="9">
        <f>67062</f>
        <v>67062</v>
      </c>
      <c r="H22" s="11"/>
      <c r="I22" s="9">
        <f>47898+24313-4438</f>
        <v>67773</v>
      </c>
      <c r="J22" s="36">
        <v>117698</v>
      </c>
      <c r="P22" s="44">
        <f>G80-Q22</f>
        <v>92081</v>
      </c>
      <c r="Q22" s="36">
        <v>34405</v>
      </c>
      <c r="R22" s="36">
        <f t="shared" si="0"/>
        <v>-25019</v>
      </c>
    </row>
    <row r="23" spans="1:21" ht="23.25" customHeight="1" x14ac:dyDescent="0.45">
      <c r="A23" s="1" t="s">
        <v>146</v>
      </c>
      <c r="C23" s="10">
        <v>0</v>
      </c>
      <c r="E23" s="28">
        <v>0</v>
      </c>
      <c r="G23" s="36">
        <v>0</v>
      </c>
      <c r="I23" s="9">
        <v>6000</v>
      </c>
      <c r="P23" s="44">
        <f>G82-Q23</f>
        <v>0</v>
      </c>
      <c r="Q23" s="36"/>
      <c r="R23" s="36">
        <f t="shared" si="0"/>
        <v>0</v>
      </c>
    </row>
    <row r="24" spans="1:21" ht="23.25" customHeight="1" x14ac:dyDescent="0.45">
      <c r="A24" s="1" t="s">
        <v>125</v>
      </c>
    </row>
    <row r="25" spans="1:21" ht="23.25" customHeight="1" x14ac:dyDescent="0.45">
      <c r="A25" s="3" t="s">
        <v>158</v>
      </c>
      <c r="B25" s="54">
        <v>10</v>
      </c>
      <c r="C25" s="82">
        <v>0</v>
      </c>
      <c r="D25" s="11"/>
      <c r="E25" s="28">
        <v>0</v>
      </c>
      <c r="F25" s="11"/>
      <c r="G25" s="36">
        <v>6909</v>
      </c>
      <c r="H25" s="11"/>
      <c r="I25" s="35">
        <v>0</v>
      </c>
    </row>
    <row r="26" spans="1:21" ht="23.25" customHeight="1" x14ac:dyDescent="0.45">
      <c r="A26" s="1" t="s">
        <v>156</v>
      </c>
      <c r="B26" s="54" t="s">
        <v>140</v>
      </c>
      <c r="C26" s="84">
        <v>63779</v>
      </c>
      <c r="D26" s="11"/>
      <c r="E26" s="28">
        <f>90154</f>
        <v>90154</v>
      </c>
      <c r="F26" s="11"/>
      <c r="G26" s="9">
        <v>50503</v>
      </c>
      <c r="H26" s="11"/>
      <c r="I26" s="9">
        <f>92332-17369</f>
        <v>74963</v>
      </c>
      <c r="J26" s="36">
        <v>362816</v>
      </c>
      <c r="P26" s="44">
        <f>G84-Q26</f>
        <v>105811</v>
      </c>
      <c r="Q26" s="36">
        <v>89942</v>
      </c>
      <c r="R26" s="36">
        <f t="shared" si="0"/>
        <v>-55308</v>
      </c>
    </row>
    <row r="27" spans="1:21" ht="23.25" customHeight="1" x14ac:dyDescent="0.45">
      <c r="A27" s="4" t="s">
        <v>30</v>
      </c>
      <c r="C27" s="85">
        <f>SUM(C19:C26)</f>
        <v>260964</v>
      </c>
      <c r="D27" s="15"/>
      <c r="E27" s="13">
        <f>SUM(E19:E26)</f>
        <v>281762</v>
      </c>
      <c r="F27" s="15"/>
      <c r="G27" s="13">
        <f>SUM(G19:G26)</f>
        <v>133791</v>
      </c>
      <c r="H27" s="15"/>
      <c r="I27" s="13">
        <f>SUM(I19:I26)</f>
        <v>163667</v>
      </c>
      <c r="J27" s="13">
        <f>SUM(J19:J26)</f>
        <v>634756</v>
      </c>
    </row>
    <row r="28" spans="1:21" ht="23.25" customHeight="1" x14ac:dyDescent="0.45">
      <c r="A28" s="4"/>
      <c r="C28" s="12"/>
      <c r="D28" s="15"/>
      <c r="E28" s="12"/>
      <c r="F28" s="15"/>
      <c r="G28" s="12"/>
      <c r="H28" s="15"/>
      <c r="I28" s="12"/>
    </row>
    <row r="29" spans="1:21" ht="23.25" customHeight="1" x14ac:dyDescent="0.45">
      <c r="A29" s="1" t="s">
        <v>147</v>
      </c>
      <c r="C29" s="12"/>
      <c r="D29" s="15"/>
      <c r="E29" s="12"/>
      <c r="F29" s="15"/>
      <c r="G29" s="12"/>
      <c r="H29" s="15"/>
      <c r="I29" s="12"/>
    </row>
    <row r="30" spans="1:21" ht="23.25" customHeight="1" x14ac:dyDescent="0.45">
      <c r="A30" s="1" t="s">
        <v>157</v>
      </c>
      <c r="B30" s="54">
        <v>8</v>
      </c>
      <c r="C30" s="88">
        <v>14321</v>
      </c>
      <c r="D30" s="9"/>
      <c r="E30" s="5">
        <v>-25097</v>
      </c>
      <c r="F30" s="9"/>
      <c r="G30" s="113">
        <v>0</v>
      </c>
      <c r="H30" s="9"/>
      <c r="I30" s="75">
        <v>0</v>
      </c>
    </row>
    <row r="31" spans="1:21" ht="23.25" customHeight="1" x14ac:dyDescent="0.45">
      <c r="A31" s="4" t="s">
        <v>159</v>
      </c>
      <c r="C31" s="15">
        <f>+C16-C27+SUM(C30)</f>
        <v>179811</v>
      </c>
      <c r="D31" s="15"/>
      <c r="E31" s="15">
        <f>+E16-E27+SUM(E30)</f>
        <v>203916</v>
      </c>
      <c r="F31" s="15"/>
      <c r="G31" s="15">
        <f>+G16-G27+SUM(G30)</f>
        <v>89623</v>
      </c>
      <c r="H31" s="15"/>
      <c r="I31" s="15">
        <f>+I16-I27+SUM(I30)</f>
        <v>-9136</v>
      </c>
      <c r="J31" s="15" t="e">
        <f>+J16-J27+SUM(#REF!)</f>
        <v>#REF!</v>
      </c>
      <c r="R31" s="97"/>
      <c r="S31" s="36"/>
      <c r="U31" s="36"/>
    </row>
    <row r="32" spans="1:21" ht="23.25" customHeight="1" x14ac:dyDescent="0.45">
      <c r="A32" s="1" t="s">
        <v>160</v>
      </c>
      <c r="B32" s="54">
        <v>15</v>
      </c>
      <c r="C32" s="98">
        <v>57244</v>
      </c>
      <c r="D32" s="9"/>
      <c r="E32" s="36">
        <v>53838</v>
      </c>
      <c r="F32" s="9"/>
      <c r="G32" s="98">
        <v>17691</v>
      </c>
      <c r="H32" s="9"/>
      <c r="I32" s="36">
        <v>-175</v>
      </c>
      <c r="P32" s="44">
        <f>G90-Q32</f>
        <v>23950</v>
      </c>
      <c r="Q32" s="36">
        <v>-2238</v>
      </c>
      <c r="R32" s="36">
        <f>G32-P32</f>
        <v>-6259</v>
      </c>
      <c r="S32" s="59"/>
      <c r="U32" s="36"/>
    </row>
    <row r="33" spans="1:21" ht="23.25" customHeight="1" thickBot="1" x14ac:dyDescent="0.5">
      <c r="A33" s="4" t="s">
        <v>130</v>
      </c>
      <c r="B33" s="58"/>
      <c r="C33" s="99">
        <f>C31-C32</f>
        <v>122567</v>
      </c>
      <c r="D33" s="12"/>
      <c r="E33" s="99">
        <f>E31-E32</f>
        <v>150078</v>
      </c>
      <c r="F33" s="12"/>
      <c r="G33" s="99">
        <f>G31-G32</f>
        <v>71932</v>
      </c>
      <c r="H33" s="12"/>
      <c r="I33" s="99">
        <f>I31-I32</f>
        <v>-8961</v>
      </c>
      <c r="J33" s="100" t="e">
        <f>SUM(J31:J32)</f>
        <v>#REF!</v>
      </c>
      <c r="R33" s="97"/>
      <c r="S33" s="36"/>
      <c r="U33" s="36"/>
    </row>
    <row r="34" spans="1:21" ht="23.25" customHeight="1" thickTop="1" x14ac:dyDescent="0.45">
      <c r="A34" s="4" t="s">
        <v>124</v>
      </c>
      <c r="B34" s="56"/>
      <c r="C34" s="77">
        <v>0</v>
      </c>
      <c r="D34" s="171"/>
      <c r="E34" s="77">
        <v>0</v>
      </c>
      <c r="F34" s="171"/>
      <c r="G34" s="77">
        <v>0</v>
      </c>
      <c r="H34" s="171"/>
      <c r="I34" s="77">
        <v>0</v>
      </c>
    </row>
    <row r="35" spans="1:21" ht="23.25" customHeight="1" thickBot="1" x14ac:dyDescent="0.5">
      <c r="A35" s="4" t="s">
        <v>161</v>
      </c>
      <c r="B35" s="56"/>
      <c r="C35" s="101">
        <f>C33+C34</f>
        <v>122567</v>
      </c>
      <c r="D35" s="171"/>
      <c r="E35" s="101">
        <f>E33+E34</f>
        <v>150078</v>
      </c>
      <c r="F35" s="171"/>
      <c r="G35" s="101">
        <f>G33+G34</f>
        <v>71932</v>
      </c>
      <c r="H35" s="171"/>
      <c r="I35" s="101">
        <f>I33+I34</f>
        <v>-8961</v>
      </c>
      <c r="P35" s="44">
        <f>G93-Q35</f>
        <v>111423</v>
      </c>
      <c r="Q35" s="3">
        <v>8109</v>
      </c>
      <c r="R35" s="36">
        <f>G35-P35</f>
        <v>-39491</v>
      </c>
    </row>
    <row r="36" spans="1:21" ht="23.25" customHeight="1" thickTop="1" x14ac:dyDescent="0.45">
      <c r="A36" s="4"/>
      <c r="C36" s="73"/>
      <c r="D36" s="9"/>
      <c r="E36" s="73"/>
      <c r="F36" s="9"/>
      <c r="G36" s="73"/>
      <c r="H36" s="9"/>
      <c r="I36" s="73"/>
      <c r="S36" s="44"/>
      <c r="U36" s="44"/>
    </row>
    <row r="37" spans="1:21" ht="23.25" customHeight="1" x14ac:dyDescent="0.5">
      <c r="A37" s="37" t="s">
        <v>82</v>
      </c>
      <c r="C37" s="59"/>
      <c r="E37" s="59"/>
      <c r="F37" s="59"/>
      <c r="G37" s="59"/>
      <c r="H37" s="59"/>
      <c r="I37" s="59"/>
    </row>
    <row r="38" spans="1:21" ht="23.25" customHeight="1" x14ac:dyDescent="0.5">
      <c r="A38" s="37" t="s">
        <v>71</v>
      </c>
      <c r="B38" s="55"/>
      <c r="C38" s="20"/>
      <c r="D38" s="169"/>
      <c r="E38" s="20"/>
    </row>
    <row r="39" spans="1:21" ht="13.5" customHeight="1" x14ac:dyDescent="0.45"/>
    <row r="40" spans="1:21" ht="23.25" customHeight="1" x14ac:dyDescent="0.45">
      <c r="C40" s="179" t="s">
        <v>32</v>
      </c>
      <c r="D40" s="179"/>
      <c r="E40" s="179"/>
      <c r="F40" s="169"/>
      <c r="G40" s="179" t="s">
        <v>46</v>
      </c>
      <c r="H40" s="179"/>
      <c r="I40" s="179"/>
    </row>
    <row r="41" spans="1:21" ht="23.25" customHeight="1" x14ac:dyDescent="0.45">
      <c r="C41" s="180" t="s">
        <v>72</v>
      </c>
      <c r="D41" s="180"/>
      <c r="E41" s="180"/>
      <c r="F41" s="170"/>
      <c r="G41" s="180" t="s">
        <v>72</v>
      </c>
      <c r="H41" s="180"/>
      <c r="I41" s="180"/>
    </row>
    <row r="42" spans="1:21" ht="23.25" customHeight="1" x14ac:dyDescent="0.45">
      <c r="C42" s="180" t="s">
        <v>143</v>
      </c>
      <c r="D42" s="180"/>
      <c r="E42" s="180"/>
      <c r="F42" s="170"/>
      <c r="G42" s="180" t="s">
        <v>143</v>
      </c>
      <c r="H42" s="180"/>
      <c r="I42" s="180"/>
    </row>
    <row r="43" spans="1:21" ht="23.25" customHeight="1" x14ac:dyDescent="0.45">
      <c r="A43" s="4"/>
      <c r="B43" s="56" t="s">
        <v>1</v>
      </c>
      <c r="C43" s="170">
        <v>2562</v>
      </c>
      <c r="D43" s="170"/>
      <c r="E43" s="170">
        <v>2561</v>
      </c>
      <c r="F43" s="170"/>
      <c r="G43" s="170">
        <v>2562</v>
      </c>
      <c r="H43" s="170"/>
      <c r="I43" s="170">
        <v>2561</v>
      </c>
    </row>
    <row r="44" spans="1:21" ht="23.25" customHeight="1" x14ac:dyDescent="0.45">
      <c r="B44" s="56"/>
      <c r="C44" s="181" t="s">
        <v>73</v>
      </c>
      <c r="D44" s="181"/>
      <c r="E44" s="181"/>
      <c r="F44" s="181"/>
      <c r="G44" s="181"/>
      <c r="H44" s="181"/>
      <c r="I44" s="181"/>
    </row>
    <row r="45" spans="1:21" ht="23.25" customHeight="1" x14ac:dyDescent="0.45">
      <c r="A45" s="4" t="s">
        <v>162</v>
      </c>
      <c r="C45" s="102"/>
      <c r="D45" s="2"/>
      <c r="E45" s="2"/>
      <c r="F45" s="2"/>
      <c r="G45" s="2"/>
      <c r="H45" s="2"/>
      <c r="I45" s="2"/>
    </row>
    <row r="46" spans="1:21" ht="23.25" customHeight="1" x14ac:dyDescent="0.45">
      <c r="A46" s="1" t="s">
        <v>163</v>
      </c>
      <c r="C46" s="36">
        <f>C48-C47</f>
        <v>117398</v>
      </c>
      <c r="D46" s="36"/>
      <c r="E46" s="36">
        <f>E48-E47</f>
        <v>132081</v>
      </c>
      <c r="F46" s="36"/>
      <c r="G46" s="36">
        <f>G48-G47</f>
        <v>71932</v>
      </c>
      <c r="H46" s="36"/>
      <c r="I46" s="36">
        <f>I48-I47</f>
        <v>-8961</v>
      </c>
    </row>
    <row r="47" spans="1:21" ht="23.25" customHeight="1" x14ac:dyDescent="0.45">
      <c r="A47" s="1" t="s">
        <v>164</v>
      </c>
      <c r="C47" s="42">
        <v>5169</v>
      </c>
      <c r="D47" s="103"/>
      <c r="E47" s="42">
        <v>17997</v>
      </c>
      <c r="F47" s="103"/>
      <c r="G47" s="36">
        <v>0</v>
      </c>
      <c r="H47" s="104"/>
      <c r="I47" s="29">
        <v>0</v>
      </c>
    </row>
    <row r="48" spans="1:21" ht="23.25" customHeight="1" thickBot="1" x14ac:dyDescent="0.5">
      <c r="A48" s="4" t="s">
        <v>130</v>
      </c>
      <c r="C48" s="105">
        <f>C33</f>
        <v>122567</v>
      </c>
      <c r="D48" s="106"/>
      <c r="E48" s="107">
        <f>E33</f>
        <v>150078</v>
      </c>
      <c r="F48" s="106"/>
      <c r="G48" s="107">
        <f>G33</f>
        <v>71932</v>
      </c>
      <c r="H48" s="106"/>
      <c r="I48" s="107">
        <f>I33</f>
        <v>-8961</v>
      </c>
    </row>
    <row r="49" spans="1:40" ht="13.5" customHeight="1" thickTop="1" x14ac:dyDescent="0.45">
      <c r="A49" s="4"/>
      <c r="C49" s="108"/>
      <c r="D49" s="106"/>
      <c r="E49" s="109"/>
      <c r="F49" s="106"/>
      <c r="G49" s="110"/>
      <c r="H49" s="106"/>
      <c r="I49" s="110"/>
    </row>
    <row r="50" spans="1:40" ht="23.25" customHeight="1" x14ac:dyDescent="0.45">
      <c r="A50" s="4" t="s">
        <v>165</v>
      </c>
      <c r="C50" s="102"/>
      <c r="D50" s="2"/>
      <c r="E50" s="2"/>
      <c r="F50" s="2"/>
      <c r="G50" s="2"/>
      <c r="H50" s="2"/>
      <c r="I50" s="2"/>
    </row>
    <row r="51" spans="1:40" ht="23.25" customHeight="1" x14ac:dyDescent="0.45">
      <c r="A51" s="1" t="s">
        <v>163</v>
      </c>
      <c r="C51" s="36">
        <f>C53-C52</f>
        <v>117398</v>
      </c>
      <c r="D51" s="36"/>
      <c r="E51" s="36">
        <f>E53-E52</f>
        <v>132081</v>
      </c>
      <c r="F51" s="36"/>
      <c r="G51" s="36">
        <f>G53-G52</f>
        <v>71932</v>
      </c>
      <c r="H51" s="36"/>
      <c r="I51" s="36">
        <f>I53-I52</f>
        <v>-8961</v>
      </c>
      <c r="Q51" s="10"/>
      <c r="R51" s="80"/>
    </row>
    <row r="52" spans="1:40" ht="23.25" customHeight="1" x14ac:dyDescent="0.45">
      <c r="A52" s="1" t="s">
        <v>164</v>
      </c>
      <c r="C52" s="42">
        <f>+C47</f>
        <v>5169</v>
      </c>
      <c r="D52" s="103"/>
      <c r="E52" s="42">
        <v>17997</v>
      </c>
      <c r="F52" s="103"/>
      <c r="G52" s="36">
        <v>0</v>
      </c>
      <c r="H52" s="104"/>
      <c r="I52" s="29">
        <v>0</v>
      </c>
      <c r="Q52" s="10"/>
      <c r="R52" s="80"/>
    </row>
    <row r="53" spans="1:40" ht="23.25" customHeight="1" thickBot="1" x14ac:dyDescent="0.5">
      <c r="A53" s="4" t="s">
        <v>161</v>
      </c>
      <c r="C53" s="105">
        <f>C35</f>
        <v>122567</v>
      </c>
      <c r="D53" s="106"/>
      <c r="E53" s="105">
        <f>E35</f>
        <v>150078</v>
      </c>
      <c r="F53" s="106"/>
      <c r="G53" s="105">
        <f>G35</f>
        <v>71932</v>
      </c>
      <c r="H53" s="106"/>
      <c r="I53" s="105">
        <f>I35</f>
        <v>-8961</v>
      </c>
    </row>
    <row r="54" spans="1:40" ht="13.5" customHeight="1" thickTop="1" x14ac:dyDescent="0.45">
      <c r="A54" s="4"/>
      <c r="C54" s="108"/>
      <c r="D54" s="106"/>
      <c r="E54" s="109"/>
      <c r="F54" s="106"/>
      <c r="G54" s="110"/>
      <c r="H54" s="106"/>
      <c r="I54" s="110"/>
    </row>
    <row r="55" spans="1:40" ht="23.25" customHeight="1" x14ac:dyDescent="0.45">
      <c r="A55" s="4" t="s">
        <v>166</v>
      </c>
      <c r="C55" s="111"/>
    </row>
    <row r="56" spans="1:40" ht="23.25" customHeight="1" thickBot="1" x14ac:dyDescent="0.5">
      <c r="A56" s="1" t="s">
        <v>167</v>
      </c>
      <c r="B56" s="54">
        <v>16</v>
      </c>
      <c r="C56" s="158">
        <f>C46/'BS3'!C83</f>
        <v>1.8061703152236288E-2</v>
      </c>
      <c r="D56" s="159"/>
      <c r="E56" s="160">
        <f>E46/'BS3'!E83</f>
        <v>2.0320685310231189E-2</v>
      </c>
      <c r="F56" s="159"/>
      <c r="G56" s="160">
        <f>G46/'BS3'!G83</f>
        <v>1.1066750976564002E-2</v>
      </c>
      <c r="H56" s="159"/>
      <c r="I56" s="167">
        <f>I46/'BS3'!I83</f>
        <v>-1.3786514416530894E-3</v>
      </c>
    </row>
    <row r="57" spans="1:40" ht="23.25" customHeight="1" thickTop="1" thickBot="1" x14ac:dyDescent="0.5">
      <c r="A57" s="1" t="s">
        <v>168</v>
      </c>
      <c r="B57" s="54">
        <v>16</v>
      </c>
      <c r="C57" s="161">
        <f>C46/'BS3'!C83</f>
        <v>1.8061703152236288E-2</v>
      </c>
      <c r="D57" s="162"/>
      <c r="E57" s="160">
        <f>E46/'BS3'!E83</f>
        <v>2.0320685310231189E-2</v>
      </c>
      <c r="F57" s="162"/>
      <c r="G57" s="163">
        <f>G46/'BS3'!G83</f>
        <v>1.1066750976564002E-2</v>
      </c>
      <c r="H57" s="162"/>
      <c r="I57" s="167">
        <f>I46/'BS3'!I83</f>
        <v>-1.3786514416530894E-3</v>
      </c>
    </row>
    <row r="58" spans="1:40" ht="23.25" customHeight="1" thickTop="1" x14ac:dyDescent="0.45"/>
    <row r="59" spans="1:40" ht="23.25" customHeight="1" x14ac:dyDescent="0.5">
      <c r="A59" s="37" t="s">
        <v>82</v>
      </c>
    </row>
    <row r="60" spans="1:40" ht="23.25" customHeight="1" x14ac:dyDescent="0.5">
      <c r="A60" s="37" t="s">
        <v>71</v>
      </c>
      <c r="B60" s="55"/>
      <c r="C60" s="20"/>
      <c r="D60" s="169"/>
      <c r="E60" s="20"/>
    </row>
    <row r="61" spans="1:40" ht="23.25" customHeight="1" x14ac:dyDescent="0.45">
      <c r="AH61" s="168" t="s">
        <v>222</v>
      </c>
      <c r="AI61" s="168"/>
      <c r="AJ61" s="168"/>
      <c r="AK61" s="168"/>
      <c r="AL61" s="168"/>
      <c r="AM61" s="168"/>
      <c r="AN61" s="168"/>
    </row>
    <row r="62" spans="1:40" ht="23.25" customHeight="1" x14ac:dyDescent="0.45">
      <c r="C62" s="179" t="s">
        <v>32</v>
      </c>
      <c r="D62" s="179"/>
      <c r="E62" s="179"/>
      <c r="F62" s="169"/>
      <c r="G62" s="179" t="s">
        <v>46</v>
      </c>
      <c r="H62" s="179"/>
      <c r="I62" s="179"/>
      <c r="X62" s="1"/>
      <c r="Y62" s="54"/>
      <c r="Z62" s="16" t="s">
        <v>32</v>
      </c>
      <c r="AA62" s="16"/>
      <c r="AB62" s="16"/>
      <c r="AC62" s="169"/>
      <c r="AD62" s="16" t="s">
        <v>46</v>
      </c>
      <c r="AE62" s="16"/>
      <c r="AF62" s="16"/>
      <c r="AH62" s="179" t="s">
        <v>32</v>
      </c>
      <c r="AI62" s="179"/>
      <c r="AJ62" s="179"/>
      <c r="AK62" s="169"/>
      <c r="AL62" s="179" t="s">
        <v>46</v>
      </c>
      <c r="AM62" s="179"/>
      <c r="AN62" s="179"/>
    </row>
    <row r="63" spans="1:40" ht="23.25" customHeight="1" x14ac:dyDescent="0.45">
      <c r="C63" s="180" t="s">
        <v>148</v>
      </c>
      <c r="D63" s="180"/>
      <c r="E63" s="180"/>
      <c r="F63" s="170"/>
      <c r="G63" s="180" t="s">
        <v>148</v>
      </c>
      <c r="H63" s="180"/>
      <c r="I63" s="180"/>
      <c r="X63" s="1"/>
      <c r="Y63" s="54"/>
      <c r="Z63" s="3" t="s">
        <v>219</v>
      </c>
      <c r="AC63" s="170"/>
      <c r="AD63" s="3" t="s">
        <v>219</v>
      </c>
      <c r="AH63" s="180" t="s">
        <v>72</v>
      </c>
      <c r="AI63" s="180"/>
      <c r="AJ63" s="180"/>
      <c r="AK63" s="170"/>
      <c r="AL63" s="180" t="s">
        <v>72</v>
      </c>
      <c r="AM63" s="180"/>
      <c r="AN63" s="180"/>
    </row>
    <row r="64" spans="1:40" ht="23.25" customHeight="1" x14ac:dyDescent="0.45">
      <c r="C64" s="180" t="s">
        <v>143</v>
      </c>
      <c r="D64" s="180"/>
      <c r="E64" s="180"/>
      <c r="F64" s="170"/>
      <c r="G64" s="180" t="s">
        <v>143</v>
      </c>
      <c r="H64" s="180"/>
      <c r="I64" s="180"/>
      <c r="X64" s="1"/>
      <c r="Y64" s="54"/>
      <c r="Z64" s="3" t="s">
        <v>220</v>
      </c>
      <c r="AC64" s="170"/>
      <c r="AD64" s="3" t="s">
        <v>220</v>
      </c>
      <c r="AH64" s="180" t="s">
        <v>143</v>
      </c>
      <c r="AI64" s="180"/>
      <c r="AJ64" s="180"/>
      <c r="AK64" s="170"/>
      <c r="AL64" s="180" t="s">
        <v>143</v>
      </c>
      <c r="AM64" s="180"/>
      <c r="AN64" s="180"/>
    </row>
    <row r="65" spans="1:40" ht="23.25" customHeight="1" x14ac:dyDescent="0.45">
      <c r="A65" s="4"/>
      <c r="B65" s="56" t="s">
        <v>1</v>
      </c>
      <c r="C65" s="170">
        <v>2562</v>
      </c>
      <c r="D65" s="170"/>
      <c r="E65" s="170">
        <v>2561</v>
      </c>
      <c r="F65" s="170"/>
      <c r="G65" s="170">
        <v>2562</v>
      </c>
      <c r="H65" s="170"/>
      <c r="I65" s="170">
        <v>2561</v>
      </c>
      <c r="X65" s="4"/>
      <c r="Y65" s="56" t="s">
        <v>1</v>
      </c>
      <c r="Z65" s="170">
        <v>2562</v>
      </c>
      <c r="AA65" s="170"/>
      <c r="AB65" s="170">
        <v>2561</v>
      </c>
      <c r="AC65" s="170"/>
      <c r="AD65" s="170">
        <v>2562</v>
      </c>
      <c r="AE65" s="170"/>
      <c r="AF65" s="170">
        <v>2561</v>
      </c>
      <c r="AH65" s="170">
        <v>2562</v>
      </c>
      <c r="AI65" s="170"/>
      <c r="AJ65" s="170">
        <v>2561</v>
      </c>
      <c r="AK65" s="170"/>
      <c r="AL65" s="170">
        <v>2562</v>
      </c>
      <c r="AM65" s="170"/>
      <c r="AN65" s="170">
        <v>2561</v>
      </c>
    </row>
    <row r="66" spans="1:40" ht="23.25" customHeight="1" x14ac:dyDescent="0.45">
      <c r="B66" s="56"/>
      <c r="C66" s="181" t="s">
        <v>73</v>
      </c>
      <c r="D66" s="181"/>
      <c r="E66" s="181"/>
      <c r="F66" s="181"/>
      <c r="G66" s="181"/>
      <c r="H66" s="181"/>
      <c r="I66" s="181"/>
      <c r="X66" s="1"/>
      <c r="Y66" s="56"/>
      <c r="Z66" s="21" t="s">
        <v>73</v>
      </c>
      <c r="AA66" s="21"/>
      <c r="AB66" s="21"/>
      <c r="AC66" s="21"/>
      <c r="AD66" s="21"/>
      <c r="AE66" s="21"/>
      <c r="AF66" s="21"/>
    </row>
    <row r="67" spans="1:40" ht="23.25" customHeight="1" x14ac:dyDescent="0.45">
      <c r="A67" s="8" t="s">
        <v>24</v>
      </c>
      <c r="C67" s="6"/>
      <c r="D67" s="6"/>
      <c r="E67" s="6"/>
      <c r="F67" s="6"/>
      <c r="G67" s="6"/>
      <c r="H67" s="6"/>
      <c r="I67" s="6"/>
      <c r="X67" s="8" t="s">
        <v>24</v>
      </c>
      <c r="Y67" s="54"/>
      <c r="Z67" s="6"/>
      <c r="AA67" s="6"/>
      <c r="AB67" s="6"/>
      <c r="AC67" s="6"/>
      <c r="AD67" s="6"/>
      <c r="AE67" s="6"/>
      <c r="AF67" s="6"/>
    </row>
    <row r="68" spans="1:40" ht="23.25" customHeight="1" x14ac:dyDescent="0.45">
      <c r="A68" s="1" t="s">
        <v>153</v>
      </c>
      <c r="B68" s="54" t="s">
        <v>154</v>
      </c>
      <c r="C68" s="87">
        <f>904293-3802</f>
        <v>900491</v>
      </c>
      <c r="D68" s="6"/>
      <c r="E68" s="28">
        <f>909429+1245</f>
        <v>910674</v>
      </c>
      <c r="F68" s="6"/>
      <c r="G68" s="28">
        <f>226266-3802</f>
        <v>222464</v>
      </c>
      <c r="H68" s="6"/>
      <c r="I68" s="28">
        <f>226595+1245</f>
        <v>227840</v>
      </c>
      <c r="P68" s="44"/>
      <c r="X68" s="1" t="s">
        <v>153</v>
      </c>
      <c r="Y68" s="54" t="s">
        <v>154</v>
      </c>
      <c r="Z68" s="87">
        <v>601162</v>
      </c>
      <c r="AA68" s="6"/>
      <c r="AB68" s="28">
        <v>593277</v>
      </c>
      <c r="AC68" s="6"/>
      <c r="AD68" s="28">
        <v>144293</v>
      </c>
      <c r="AE68" s="6"/>
      <c r="AF68" s="28">
        <v>155517</v>
      </c>
      <c r="AH68" s="44">
        <f>C68-Z68</f>
        <v>299329</v>
      </c>
      <c r="AI68" s="44">
        <f t="shared" ref="AI68:AN74" si="1">D68-AA68</f>
        <v>0</v>
      </c>
      <c r="AJ68" s="44">
        <f t="shared" si="1"/>
        <v>317397</v>
      </c>
      <c r="AK68" s="44">
        <f t="shared" si="1"/>
        <v>0</v>
      </c>
      <c r="AL68" s="44">
        <f t="shared" si="1"/>
        <v>78171</v>
      </c>
      <c r="AM68" s="44">
        <f t="shared" si="1"/>
        <v>0</v>
      </c>
      <c r="AN68" s="44">
        <f t="shared" si="1"/>
        <v>72323</v>
      </c>
    </row>
    <row r="69" spans="1:40" ht="23.25" customHeight="1" x14ac:dyDescent="0.45">
      <c r="A69" s="1" t="s">
        <v>25</v>
      </c>
      <c r="B69" s="54">
        <v>14</v>
      </c>
      <c r="C69" s="28">
        <v>192962</v>
      </c>
      <c r="D69" s="9"/>
      <c r="E69" s="9">
        <v>192685</v>
      </c>
      <c r="F69" s="9"/>
      <c r="G69" s="28">
        <v>0</v>
      </c>
      <c r="H69" s="9"/>
      <c r="I69" s="28">
        <v>0</v>
      </c>
      <c r="P69" s="44"/>
      <c r="X69" s="1" t="s">
        <v>25</v>
      </c>
      <c r="Y69" s="54">
        <v>14</v>
      </c>
      <c r="Z69" s="28">
        <v>170723</v>
      </c>
      <c r="AA69" s="9"/>
      <c r="AB69" s="9">
        <v>143471</v>
      </c>
      <c r="AC69" s="9"/>
      <c r="AD69" s="28">
        <v>0</v>
      </c>
      <c r="AE69" s="9"/>
      <c r="AF69" s="28">
        <v>0</v>
      </c>
      <c r="AH69" s="44">
        <f t="shared" ref="AH69:AH74" si="2">C69-Z69</f>
        <v>22239</v>
      </c>
      <c r="AI69" s="44">
        <f t="shared" si="1"/>
        <v>0</v>
      </c>
      <c r="AJ69" s="44">
        <f t="shared" si="1"/>
        <v>49214</v>
      </c>
      <c r="AK69" s="44">
        <f t="shared" si="1"/>
        <v>0</v>
      </c>
      <c r="AL69" s="44">
        <f t="shared" si="1"/>
        <v>0</v>
      </c>
      <c r="AM69" s="44">
        <f t="shared" si="1"/>
        <v>0</v>
      </c>
      <c r="AN69" s="44">
        <f t="shared" si="1"/>
        <v>0</v>
      </c>
    </row>
    <row r="70" spans="1:40" ht="23.25" customHeight="1" x14ac:dyDescent="0.45">
      <c r="A70" s="1" t="s">
        <v>144</v>
      </c>
      <c r="C70" s="28"/>
      <c r="D70" s="9"/>
      <c r="E70" s="9"/>
      <c r="F70" s="9"/>
      <c r="G70" s="28"/>
      <c r="H70" s="9"/>
      <c r="I70" s="28"/>
      <c r="P70" s="44"/>
      <c r="X70" s="1"/>
      <c r="Y70" s="54"/>
      <c r="Z70" s="28"/>
      <c r="AA70" s="9"/>
      <c r="AB70" s="9"/>
      <c r="AC70" s="9"/>
      <c r="AD70" s="28"/>
      <c r="AE70" s="9"/>
      <c r="AF70" s="28"/>
      <c r="AH70" s="44">
        <f t="shared" si="2"/>
        <v>0</v>
      </c>
      <c r="AI70" s="44">
        <f t="shared" si="1"/>
        <v>0</v>
      </c>
      <c r="AJ70" s="44">
        <f t="shared" si="1"/>
        <v>0</v>
      </c>
      <c r="AK70" s="44">
        <f t="shared" si="1"/>
        <v>0</v>
      </c>
      <c r="AL70" s="44">
        <f t="shared" si="1"/>
        <v>0</v>
      </c>
      <c r="AM70" s="44">
        <f t="shared" si="1"/>
        <v>0</v>
      </c>
      <c r="AN70" s="44">
        <f t="shared" si="1"/>
        <v>0</v>
      </c>
    </row>
    <row r="71" spans="1:40" ht="23.25" customHeight="1" x14ac:dyDescent="0.45">
      <c r="A71" s="1" t="s">
        <v>145</v>
      </c>
      <c r="B71" s="54">
        <v>10</v>
      </c>
      <c r="C71" s="28">
        <v>615</v>
      </c>
      <c r="D71" s="9"/>
      <c r="E71" s="9">
        <v>65412</v>
      </c>
      <c r="F71" s="9"/>
      <c r="G71" s="28">
        <v>0</v>
      </c>
      <c r="H71" s="9"/>
      <c r="I71" s="28">
        <v>0</v>
      </c>
      <c r="P71" s="44"/>
      <c r="X71" s="1"/>
      <c r="Y71" s="54"/>
      <c r="Z71" s="28"/>
      <c r="AA71" s="9"/>
      <c r="AB71" s="9"/>
      <c r="AC71" s="9"/>
      <c r="AD71" s="28"/>
      <c r="AE71" s="9"/>
      <c r="AF71" s="28"/>
      <c r="AH71" s="44">
        <f t="shared" si="2"/>
        <v>615</v>
      </c>
      <c r="AI71" s="44">
        <f t="shared" si="1"/>
        <v>0</v>
      </c>
      <c r="AJ71" s="44">
        <f t="shared" si="1"/>
        <v>65412</v>
      </c>
      <c r="AK71" s="44">
        <f t="shared" si="1"/>
        <v>0</v>
      </c>
      <c r="AL71" s="44">
        <f t="shared" si="1"/>
        <v>0</v>
      </c>
      <c r="AM71" s="44">
        <f t="shared" si="1"/>
        <v>0</v>
      </c>
      <c r="AN71" s="44">
        <f t="shared" si="1"/>
        <v>0</v>
      </c>
    </row>
    <row r="72" spans="1:40" ht="23.25" customHeight="1" x14ac:dyDescent="0.45">
      <c r="A72" s="1" t="s">
        <v>83</v>
      </c>
      <c r="B72" s="54" t="s">
        <v>140</v>
      </c>
      <c r="C72" s="28">
        <v>99055</v>
      </c>
      <c r="D72" s="9"/>
      <c r="E72" s="9">
        <f>194407</f>
        <v>194407</v>
      </c>
      <c r="F72" s="9"/>
      <c r="G72" s="42">
        <v>200569</v>
      </c>
      <c r="H72" s="9"/>
      <c r="I72" s="28">
        <f>238882-49757</f>
        <v>189125</v>
      </c>
      <c r="X72" s="1" t="s">
        <v>83</v>
      </c>
      <c r="Y72" s="54">
        <v>3</v>
      </c>
      <c r="Z72" s="28">
        <f>165286-34154-65343</f>
        <v>65789</v>
      </c>
      <c r="AA72" s="9"/>
      <c r="AB72" s="9">
        <v>128060</v>
      </c>
      <c r="AC72" s="9"/>
      <c r="AD72" s="42">
        <f>165154-34154</f>
        <v>131000</v>
      </c>
      <c r="AE72" s="9"/>
      <c r="AF72" s="28">
        <v>157028</v>
      </c>
      <c r="AH72" s="44">
        <f>C72-Z72</f>
        <v>33266</v>
      </c>
      <c r="AI72" s="44">
        <f t="shared" si="1"/>
        <v>0</v>
      </c>
      <c r="AJ72" s="44">
        <f t="shared" si="1"/>
        <v>66347</v>
      </c>
      <c r="AK72" s="44">
        <f t="shared" si="1"/>
        <v>0</v>
      </c>
      <c r="AL72" s="44">
        <f t="shared" si="1"/>
        <v>69569</v>
      </c>
      <c r="AM72" s="44">
        <f t="shared" si="1"/>
        <v>0</v>
      </c>
      <c r="AN72" s="44">
        <f t="shared" si="1"/>
        <v>32097</v>
      </c>
    </row>
    <row r="73" spans="1:40" ht="23.25" customHeight="1" x14ac:dyDescent="0.45">
      <c r="A73" s="1" t="s">
        <v>26</v>
      </c>
      <c r="B73" s="54" t="s">
        <v>140</v>
      </c>
      <c r="C73" s="88">
        <f>111578</f>
        <v>111578</v>
      </c>
      <c r="D73" s="9"/>
      <c r="E73" s="5">
        <f>27092-1245</f>
        <v>25847</v>
      </c>
      <c r="F73" s="9"/>
      <c r="G73" s="75">
        <f>104948</f>
        <v>104948</v>
      </c>
      <c r="H73" s="9"/>
      <c r="I73" s="75">
        <f>22644-1245</f>
        <v>21399</v>
      </c>
      <c r="X73" s="1" t="s">
        <v>26</v>
      </c>
      <c r="Y73" s="54" t="s">
        <v>140</v>
      </c>
      <c r="Z73" s="88">
        <v>42036</v>
      </c>
      <c r="AA73" s="9"/>
      <c r="AB73" s="5">
        <v>23221</v>
      </c>
      <c r="AC73" s="9"/>
      <c r="AD73" s="75">
        <v>29274</v>
      </c>
      <c r="AE73" s="9"/>
      <c r="AF73" s="75">
        <v>20820</v>
      </c>
      <c r="AH73" s="44">
        <f t="shared" si="2"/>
        <v>69542</v>
      </c>
      <c r="AI73" s="44">
        <f t="shared" si="1"/>
        <v>0</v>
      </c>
      <c r="AJ73" s="44">
        <f t="shared" si="1"/>
        <v>2626</v>
      </c>
      <c r="AK73" s="44">
        <f t="shared" si="1"/>
        <v>0</v>
      </c>
      <c r="AL73" s="44">
        <f t="shared" si="1"/>
        <v>75674</v>
      </c>
      <c r="AM73" s="44">
        <f t="shared" si="1"/>
        <v>0</v>
      </c>
      <c r="AN73" s="44">
        <f t="shared" si="1"/>
        <v>579</v>
      </c>
    </row>
    <row r="74" spans="1:40" ht="23.25" customHeight="1" x14ac:dyDescent="0.45">
      <c r="A74" s="4" t="s">
        <v>27</v>
      </c>
      <c r="C74" s="83">
        <f>SUM(C68:C73)</f>
        <v>1304701</v>
      </c>
      <c r="D74" s="15"/>
      <c r="E74" s="30">
        <f>SUM(E68:E73)</f>
        <v>1389025</v>
      </c>
      <c r="F74" s="15"/>
      <c r="G74" s="30">
        <f>SUM(G68:G73)</f>
        <v>527981</v>
      </c>
      <c r="H74" s="15"/>
      <c r="I74" s="30">
        <f>SUM(I68:I73)</f>
        <v>438364</v>
      </c>
      <c r="U74" s="10">
        <f>98571235.15/10^3</f>
        <v>98571.235150000008</v>
      </c>
      <c r="X74" s="4" t="s">
        <v>27</v>
      </c>
      <c r="Y74" s="54"/>
      <c r="Z74" s="83">
        <f>979207-34154-65343</f>
        <v>879710</v>
      </c>
      <c r="AA74" s="15"/>
      <c r="AB74" s="30">
        <v>888029</v>
      </c>
      <c r="AC74" s="15"/>
      <c r="AD74" s="30">
        <f>338721-34154</f>
        <v>304567</v>
      </c>
      <c r="AE74" s="15"/>
      <c r="AF74" s="30">
        <v>333365</v>
      </c>
      <c r="AH74" s="44">
        <f t="shared" si="2"/>
        <v>424991</v>
      </c>
      <c r="AI74" s="44">
        <f t="shared" si="1"/>
        <v>0</v>
      </c>
      <c r="AJ74" s="44">
        <f t="shared" si="1"/>
        <v>500996</v>
      </c>
      <c r="AK74" s="44">
        <f t="shared" si="1"/>
        <v>0</v>
      </c>
      <c r="AL74" s="44">
        <f t="shared" si="1"/>
        <v>223414</v>
      </c>
      <c r="AM74" s="44">
        <f t="shared" si="1"/>
        <v>0</v>
      </c>
      <c r="AN74" s="44">
        <f t="shared" si="1"/>
        <v>104999</v>
      </c>
    </row>
    <row r="75" spans="1:40" ht="23.25" customHeight="1" x14ac:dyDescent="0.45">
      <c r="C75" s="9"/>
      <c r="D75" s="9"/>
      <c r="E75" s="9"/>
      <c r="F75" s="9"/>
      <c r="G75" s="9"/>
      <c r="H75" s="9"/>
      <c r="I75" s="9"/>
      <c r="X75" s="1"/>
      <c r="Y75" s="54"/>
      <c r="Z75" s="9"/>
      <c r="AA75" s="9"/>
      <c r="AB75" s="9"/>
      <c r="AC75" s="9"/>
      <c r="AD75" s="9"/>
      <c r="AE75" s="9"/>
      <c r="AF75" s="9"/>
    </row>
    <row r="76" spans="1:40" ht="23.25" customHeight="1" x14ac:dyDescent="0.45">
      <c r="A76" s="8" t="s">
        <v>28</v>
      </c>
      <c r="C76" s="57"/>
      <c r="D76" s="9"/>
      <c r="E76" s="57"/>
      <c r="F76" s="9"/>
      <c r="G76" s="57"/>
      <c r="H76" s="9"/>
      <c r="I76" s="57"/>
      <c r="X76" s="8" t="s">
        <v>28</v>
      </c>
      <c r="Y76" s="54"/>
      <c r="Z76" s="57"/>
      <c r="AA76" s="9"/>
      <c r="AB76" s="57"/>
      <c r="AC76" s="9"/>
      <c r="AD76" s="57"/>
      <c r="AE76" s="9"/>
      <c r="AF76" s="57"/>
    </row>
    <row r="77" spans="1:40" ht="23.25" customHeight="1" x14ac:dyDescent="0.45">
      <c r="A77" s="1" t="s">
        <v>155</v>
      </c>
      <c r="B77" s="54" t="s">
        <v>140</v>
      </c>
      <c r="C77" s="36">
        <f>273984</f>
        <v>273984</v>
      </c>
      <c r="D77" s="9"/>
      <c r="E77" s="9">
        <f>361163-58580+12576</f>
        <v>315159</v>
      </c>
      <c r="F77" s="9"/>
      <c r="G77" s="28">
        <f>32622</f>
        <v>32622</v>
      </c>
      <c r="H77" s="9"/>
      <c r="I77" s="9">
        <f>119100-84405+12576</f>
        <v>47271</v>
      </c>
      <c r="S77" s="44"/>
      <c r="X77" s="1" t="s">
        <v>155</v>
      </c>
      <c r="Y77" s="54" t="s">
        <v>140</v>
      </c>
      <c r="Z77" s="36">
        <v>177697</v>
      </c>
      <c r="AA77" s="9"/>
      <c r="AB77" s="9">
        <v>197920</v>
      </c>
      <c r="AC77" s="9"/>
      <c r="AD77" s="28">
        <v>23371</v>
      </c>
      <c r="AE77" s="9"/>
      <c r="AF77" s="9">
        <v>25847</v>
      </c>
      <c r="AH77" s="44">
        <f t="shared" ref="AH77:AN85" si="3">C77-Z77</f>
        <v>96287</v>
      </c>
      <c r="AI77" s="44">
        <f t="shared" si="3"/>
        <v>0</v>
      </c>
      <c r="AJ77" s="44">
        <f t="shared" si="3"/>
        <v>117239</v>
      </c>
      <c r="AK77" s="44">
        <f t="shared" si="3"/>
        <v>0</v>
      </c>
      <c r="AL77" s="44">
        <f t="shared" si="3"/>
        <v>9251</v>
      </c>
      <c r="AM77" s="44">
        <f t="shared" si="3"/>
        <v>0</v>
      </c>
      <c r="AN77" s="44">
        <f t="shared" si="3"/>
        <v>21424</v>
      </c>
    </row>
    <row r="78" spans="1:40" ht="23.25" customHeight="1" x14ac:dyDescent="0.45">
      <c r="A78" s="1" t="s">
        <v>29</v>
      </c>
      <c r="C78" s="28">
        <v>57547</v>
      </c>
      <c r="D78" s="9"/>
      <c r="E78" s="9">
        <v>59829</v>
      </c>
      <c r="F78" s="9"/>
      <c r="G78" s="35">
        <v>0</v>
      </c>
      <c r="H78" s="9"/>
      <c r="I78" s="35">
        <v>0</v>
      </c>
      <c r="X78" s="1" t="s">
        <v>29</v>
      </c>
      <c r="Y78" s="54"/>
      <c r="Z78" s="28">
        <v>50020</v>
      </c>
      <c r="AA78" s="9"/>
      <c r="AB78" s="9">
        <v>43846</v>
      </c>
      <c r="AC78" s="9"/>
      <c r="AD78" s="35">
        <v>0</v>
      </c>
      <c r="AE78" s="9"/>
      <c r="AF78" s="35">
        <v>0</v>
      </c>
      <c r="AH78" s="44">
        <f t="shared" si="3"/>
        <v>7527</v>
      </c>
      <c r="AI78" s="44">
        <f t="shared" si="3"/>
        <v>0</v>
      </c>
      <c r="AJ78" s="44">
        <f t="shared" si="3"/>
        <v>15983</v>
      </c>
      <c r="AK78" s="44">
        <f t="shared" si="3"/>
        <v>0</v>
      </c>
      <c r="AL78" s="44">
        <f t="shared" si="3"/>
        <v>0</v>
      </c>
      <c r="AM78" s="44">
        <f t="shared" si="3"/>
        <v>0</v>
      </c>
      <c r="AN78" s="44">
        <f t="shared" si="3"/>
        <v>0</v>
      </c>
    </row>
    <row r="79" spans="1:40" ht="23.25" customHeight="1" x14ac:dyDescent="0.45">
      <c r="A79" s="1" t="s">
        <v>126</v>
      </c>
      <c r="C79" s="28">
        <v>5180</v>
      </c>
      <c r="D79" s="9"/>
      <c r="E79" s="9">
        <v>33291</v>
      </c>
      <c r="F79" s="9"/>
      <c r="G79" s="9">
        <v>275</v>
      </c>
      <c r="H79" s="11"/>
      <c r="I79" s="9">
        <v>5540</v>
      </c>
      <c r="X79" s="1" t="s">
        <v>126</v>
      </c>
      <c r="Y79" s="54"/>
      <c r="Z79" s="28">
        <v>3218</v>
      </c>
      <c r="AA79" s="9"/>
      <c r="AB79" s="9">
        <v>22582</v>
      </c>
      <c r="AC79" s="9"/>
      <c r="AD79" s="9">
        <v>209</v>
      </c>
      <c r="AE79" s="11"/>
      <c r="AF79" s="9">
        <v>3896</v>
      </c>
      <c r="AH79" s="44">
        <f t="shared" si="3"/>
        <v>1962</v>
      </c>
      <c r="AI79" s="44">
        <f t="shared" si="3"/>
        <v>0</v>
      </c>
      <c r="AJ79" s="44">
        <f t="shared" si="3"/>
        <v>10709</v>
      </c>
      <c r="AK79" s="44">
        <f t="shared" si="3"/>
        <v>0</v>
      </c>
      <c r="AL79" s="44">
        <f t="shared" si="3"/>
        <v>66</v>
      </c>
      <c r="AM79" s="44">
        <f t="shared" si="3"/>
        <v>0</v>
      </c>
      <c r="AN79" s="44">
        <f t="shared" si="3"/>
        <v>1644</v>
      </c>
    </row>
    <row r="80" spans="1:40" ht="23.25" customHeight="1" x14ac:dyDescent="0.45">
      <c r="A80" s="1" t="s">
        <v>50</v>
      </c>
      <c r="B80" s="54" t="s">
        <v>140</v>
      </c>
      <c r="C80" s="82">
        <f>245932</f>
        <v>245932</v>
      </c>
      <c r="D80" s="11"/>
      <c r="E80" s="11">
        <f>146832+58580-12576</f>
        <v>192836</v>
      </c>
      <c r="F80" s="11"/>
      <c r="G80" s="9">
        <f>126486</f>
        <v>126486</v>
      </c>
      <c r="H80" s="11"/>
      <c r="I80" s="9">
        <f>107080+84405-12576</f>
        <v>178909</v>
      </c>
      <c r="X80" s="1" t="s">
        <v>50</v>
      </c>
      <c r="Y80" s="54" t="s">
        <v>140</v>
      </c>
      <c r="Z80" s="82">
        <v>154523</v>
      </c>
      <c r="AA80" s="11"/>
      <c r="AB80" s="11">
        <v>145159</v>
      </c>
      <c r="AC80" s="11"/>
      <c r="AD80" s="9">
        <v>59424</v>
      </c>
      <c r="AE80" s="11"/>
      <c r="AF80" s="9">
        <v>119273</v>
      </c>
      <c r="AH80" s="44">
        <f t="shared" si="3"/>
        <v>91409</v>
      </c>
      <c r="AI80" s="44">
        <f t="shared" si="3"/>
        <v>0</v>
      </c>
      <c r="AJ80" s="44">
        <f t="shared" si="3"/>
        <v>47677</v>
      </c>
      <c r="AK80" s="44">
        <f t="shared" si="3"/>
        <v>0</v>
      </c>
      <c r="AL80" s="44">
        <f t="shared" si="3"/>
        <v>67062</v>
      </c>
      <c r="AM80" s="44">
        <f t="shared" si="3"/>
        <v>0</v>
      </c>
      <c r="AN80" s="44">
        <f t="shared" si="3"/>
        <v>59636</v>
      </c>
    </row>
    <row r="81" spans="1:40" ht="23.25" customHeight="1" x14ac:dyDescent="0.45">
      <c r="A81" s="1" t="s">
        <v>146</v>
      </c>
      <c r="C81" s="82">
        <v>0</v>
      </c>
      <c r="D81" s="11"/>
      <c r="E81" s="28">
        <v>0</v>
      </c>
      <c r="F81" s="11"/>
      <c r="G81" s="35">
        <v>0</v>
      </c>
      <c r="H81" s="11"/>
      <c r="I81" s="9">
        <v>6000</v>
      </c>
      <c r="X81" s="1"/>
      <c r="Y81" s="54"/>
      <c r="Z81" s="82"/>
      <c r="AA81" s="11"/>
      <c r="AB81" s="11"/>
      <c r="AC81" s="11"/>
      <c r="AD81" s="9"/>
      <c r="AE81" s="11"/>
      <c r="AF81" s="9"/>
      <c r="AH81" s="44">
        <f t="shared" si="3"/>
        <v>0</v>
      </c>
      <c r="AI81" s="44">
        <f t="shared" si="3"/>
        <v>0</v>
      </c>
      <c r="AJ81" s="44">
        <f t="shared" si="3"/>
        <v>0</v>
      </c>
      <c r="AK81" s="44">
        <f t="shared" si="3"/>
        <v>0</v>
      </c>
      <c r="AL81" s="44">
        <f t="shared" si="3"/>
        <v>0</v>
      </c>
      <c r="AM81" s="44">
        <f t="shared" si="3"/>
        <v>0</v>
      </c>
      <c r="AN81" s="44">
        <f t="shared" si="3"/>
        <v>6000</v>
      </c>
    </row>
    <row r="82" spans="1:40" ht="23.25" customHeight="1" x14ac:dyDescent="0.45">
      <c r="A82" s="1" t="s">
        <v>125</v>
      </c>
      <c r="X82" s="1" t="s">
        <v>125</v>
      </c>
      <c r="Y82" s="54"/>
      <c r="AH82" s="44">
        <f t="shared" si="3"/>
        <v>0</v>
      </c>
      <c r="AI82" s="44">
        <f t="shared" si="3"/>
        <v>0</v>
      </c>
      <c r="AJ82" s="44">
        <f t="shared" si="3"/>
        <v>0</v>
      </c>
      <c r="AK82" s="44">
        <f t="shared" si="3"/>
        <v>0</v>
      </c>
      <c r="AL82" s="44">
        <f t="shared" si="3"/>
        <v>0</v>
      </c>
      <c r="AM82" s="44">
        <f t="shared" si="3"/>
        <v>0</v>
      </c>
      <c r="AN82" s="44">
        <f t="shared" si="3"/>
        <v>0</v>
      </c>
    </row>
    <row r="83" spans="1:40" ht="23.25" customHeight="1" x14ac:dyDescent="0.45">
      <c r="A83" s="3" t="s">
        <v>158</v>
      </c>
      <c r="B83" s="54">
        <v>10</v>
      </c>
      <c r="C83" s="82">
        <v>0</v>
      </c>
      <c r="D83" s="11"/>
      <c r="E83" s="28">
        <v>0</v>
      </c>
      <c r="F83" s="11"/>
      <c r="G83" s="28">
        <v>31601</v>
      </c>
      <c r="H83" s="11"/>
      <c r="I83" s="9">
        <v>10795</v>
      </c>
      <c r="X83" s="3" t="s">
        <v>158</v>
      </c>
      <c r="Y83" s="54">
        <v>10</v>
      </c>
      <c r="Z83" s="82">
        <v>1455</v>
      </c>
      <c r="AA83" s="11"/>
      <c r="AB83" s="11">
        <v>9779</v>
      </c>
      <c r="AC83" s="11"/>
      <c r="AD83" s="28">
        <v>24692</v>
      </c>
      <c r="AE83" s="11"/>
      <c r="AF83" s="9">
        <v>27939</v>
      </c>
      <c r="AH83" s="44">
        <f t="shared" si="3"/>
        <v>-1455</v>
      </c>
      <c r="AI83" s="44">
        <f t="shared" si="3"/>
        <v>0</v>
      </c>
      <c r="AJ83" s="44">
        <f t="shared" si="3"/>
        <v>-9779</v>
      </c>
      <c r="AK83" s="44">
        <f t="shared" si="3"/>
        <v>0</v>
      </c>
      <c r="AL83" s="44">
        <f t="shared" si="3"/>
        <v>6909</v>
      </c>
      <c r="AM83" s="44">
        <f t="shared" si="3"/>
        <v>0</v>
      </c>
      <c r="AN83" s="44">
        <f t="shared" si="3"/>
        <v>-17144</v>
      </c>
    </row>
    <row r="84" spans="1:40" ht="23.25" customHeight="1" x14ac:dyDescent="0.45">
      <c r="A84" s="1" t="s">
        <v>156</v>
      </c>
      <c r="B84" s="54" t="s">
        <v>140</v>
      </c>
      <c r="C84" s="84">
        <v>211543</v>
      </c>
      <c r="D84" s="11"/>
      <c r="E84" s="11">
        <f>271520</f>
        <v>271520</v>
      </c>
      <c r="F84" s="11"/>
      <c r="G84" s="9">
        <v>195753</v>
      </c>
      <c r="H84" s="11"/>
      <c r="I84" s="9">
        <f>270983-49757</f>
        <v>221226</v>
      </c>
      <c r="X84" s="1" t="s">
        <v>156</v>
      </c>
      <c r="Y84" s="54">
        <v>3</v>
      </c>
      <c r="Z84" s="84">
        <f>181918-34154</f>
        <v>147764</v>
      </c>
      <c r="AA84" s="11"/>
      <c r="AB84" s="11">
        <v>181366</v>
      </c>
      <c r="AC84" s="11"/>
      <c r="AD84" s="9">
        <f>179404-34154</f>
        <v>145250</v>
      </c>
      <c r="AE84" s="11"/>
      <c r="AF84" s="9">
        <v>178651</v>
      </c>
      <c r="AH84" s="44">
        <f t="shared" si="3"/>
        <v>63779</v>
      </c>
      <c r="AI84" s="44">
        <f t="shared" si="3"/>
        <v>0</v>
      </c>
      <c r="AJ84" s="44">
        <f t="shared" si="3"/>
        <v>90154</v>
      </c>
      <c r="AK84" s="44">
        <f t="shared" si="3"/>
        <v>0</v>
      </c>
      <c r="AL84" s="44">
        <f t="shared" si="3"/>
        <v>50503</v>
      </c>
      <c r="AM84" s="44">
        <f t="shared" si="3"/>
        <v>0</v>
      </c>
      <c r="AN84" s="44">
        <f t="shared" si="3"/>
        <v>42575</v>
      </c>
    </row>
    <row r="85" spans="1:40" ht="23.25" customHeight="1" x14ac:dyDescent="0.45">
      <c r="A85" s="4" t="s">
        <v>30</v>
      </c>
      <c r="C85" s="85">
        <f>SUM(C77:C84)</f>
        <v>794186</v>
      </c>
      <c r="D85" s="15"/>
      <c r="E85" s="13">
        <f>SUM(E77:E84)</f>
        <v>872635</v>
      </c>
      <c r="F85" s="15"/>
      <c r="G85" s="13">
        <f>SUM(G77:G84)</f>
        <v>386737</v>
      </c>
      <c r="H85" s="15"/>
      <c r="I85" s="13">
        <f>SUM(I77:I84)</f>
        <v>469741</v>
      </c>
      <c r="U85" s="25">
        <f>C74+U74-C85</f>
        <v>609086.23515000008</v>
      </c>
      <c r="V85" s="25">
        <f>E74-E85</f>
        <v>516390</v>
      </c>
      <c r="X85" s="4" t="s">
        <v>30</v>
      </c>
      <c r="Y85" s="54"/>
      <c r="Z85" s="85">
        <f>568831-34154</f>
        <v>534677</v>
      </c>
      <c r="AA85" s="15"/>
      <c r="AB85" s="13">
        <v>600652</v>
      </c>
      <c r="AC85" s="15"/>
      <c r="AD85" s="13">
        <f>287100-34154</f>
        <v>252946</v>
      </c>
      <c r="AE85" s="15"/>
      <c r="AF85" s="13">
        <v>355606</v>
      </c>
      <c r="AH85" s="44">
        <f t="shared" si="3"/>
        <v>259509</v>
      </c>
      <c r="AI85" s="44">
        <f t="shared" si="3"/>
        <v>0</v>
      </c>
      <c r="AJ85" s="44">
        <f t="shared" si="3"/>
        <v>271983</v>
      </c>
      <c r="AK85" s="44">
        <f t="shared" si="3"/>
        <v>0</v>
      </c>
      <c r="AL85" s="44">
        <f t="shared" si="3"/>
        <v>133791</v>
      </c>
      <c r="AM85" s="44">
        <f t="shared" si="3"/>
        <v>0</v>
      </c>
      <c r="AN85" s="44">
        <f t="shared" si="3"/>
        <v>114135</v>
      </c>
    </row>
    <row r="86" spans="1:40" ht="23.25" customHeight="1" x14ac:dyDescent="0.45">
      <c r="A86" s="4"/>
      <c r="C86" s="12"/>
      <c r="D86" s="15"/>
      <c r="E86" s="12"/>
      <c r="F86" s="15"/>
      <c r="G86" s="12"/>
      <c r="H86" s="15"/>
      <c r="I86" s="12"/>
      <c r="U86" s="44">
        <f>C90</f>
        <v>147560</v>
      </c>
      <c r="V86" s="44">
        <f>E90</f>
        <v>118530</v>
      </c>
      <c r="X86" s="4"/>
      <c r="Y86" s="54"/>
      <c r="Z86" s="12"/>
      <c r="AA86" s="15"/>
      <c r="AB86" s="12"/>
      <c r="AC86" s="15"/>
      <c r="AD86" s="12"/>
      <c r="AE86" s="15"/>
      <c r="AF86" s="12"/>
    </row>
    <row r="87" spans="1:40" s="36" customFormat="1" ht="23.25" customHeight="1" x14ac:dyDescent="0.45">
      <c r="A87" s="1" t="s">
        <v>147</v>
      </c>
      <c r="B87" s="54"/>
      <c r="C87" s="12"/>
      <c r="D87" s="15"/>
      <c r="E87" s="12"/>
      <c r="F87" s="15"/>
      <c r="G87" s="12"/>
      <c r="H87" s="15"/>
      <c r="I87" s="12"/>
      <c r="K87" s="3"/>
      <c r="L87" s="3"/>
      <c r="M87" s="3"/>
      <c r="N87" s="3"/>
      <c r="O87" s="3"/>
      <c r="P87" s="3"/>
      <c r="Q87" s="3"/>
      <c r="R87" s="3"/>
      <c r="S87" s="3"/>
      <c r="T87" s="3"/>
      <c r="U87" s="59">
        <f>U86/U85</f>
        <v>0.24226454561669794</v>
      </c>
      <c r="V87" s="59">
        <f>V86/V85</f>
        <v>0.22953581595305875</v>
      </c>
      <c r="W87" s="176">
        <f>U87-V87</f>
        <v>1.2728729663639193E-2</v>
      </c>
      <c r="X87" s="1" t="s">
        <v>221</v>
      </c>
      <c r="Y87" s="54"/>
      <c r="Z87" s="12"/>
      <c r="AA87" s="15"/>
      <c r="AB87" s="12"/>
      <c r="AC87" s="15"/>
      <c r="AD87" s="12"/>
      <c r="AE87" s="15"/>
      <c r="AF87" s="12"/>
      <c r="AG87" s="3"/>
      <c r="AH87" s="3"/>
      <c r="AI87" s="3"/>
      <c r="AJ87" s="3"/>
      <c r="AK87" s="3"/>
      <c r="AL87" s="3"/>
    </row>
    <row r="88" spans="1:40" s="36" customFormat="1" ht="23.25" customHeight="1" x14ac:dyDescent="0.45">
      <c r="A88" s="1" t="s">
        <v>157</v>
      </c>
      <c r="B88" s="54">
        <v>8</v>
      </c>
      <c r="C88" s="88">
        <v>45618</v>
      </c>
      <c r="D88" s="9"/>
      <c r="E88" s="5">
        <v>-122054</v>
      </c>
      <c r="F88" s="9"/>
      <c r="G88" s="113">
        <v>0</v>
      </c>
      <c r="H88" s="9"/>
      <c r="I88" s="77">
        <v>0</v>
      </c>
      <c r="K88" s="3"/>
      <c r="L88" s="3"/>
      <c r="M88" s="3"/>
      <c r="N88" s="3"/>
      <c r="O88" s="3"/>
      <c r="P88" s="3"/>
      <c r="Q88" s="3"/>
      <c r="R88" s="3"/>
      <c r="S88" s="3"/>
      <c r="T88" s="3"/>
      <c r="U88" s="25"/>
      <c r="X88" s="1" t="s">
        <v>157</v>
      </c>
      <c r="Y88" s="54">
        <v>8</v>
      </c>
      <c r="Z88" s="88">
        <f>-99392+130689</f>
        <v>31297</v>
      </c>
      <c r="AA88" s="9"/>
      <c r="AB88" s="5">
        <v>-96957</v>
      </c>
      <c r="AC88" s="9"/>
      <c r="AD88" s="113">
        <v>0</v>
      </c>
      <c r="AE88" s="9"/>
      <c r="AF88" s="77">
        <v>0</v>
      </c>
      <c r="AG88" s="3"/>
      <c r="AH88" s="44">
        <f t="shared" ref="AH88:AN93" si="4">C88-Z88</f>
        <v>14321</v>
      </c>
      <c r="AI88" s="44">
        <f t="shared" si="4"/>
        <v>0</v>
      </c>
      <c r="AJ88" s="44">
        <f t="shared" si="4"/>
        <v>-25097</v>
      </c>
      <c r="AK88" s="44">
        <f t="shared" si="4"/>
        <v>0</v>
      </c>
      <c r="AL88" s="44">
        <f t="shared" si="4"/>
        <v>0</v>
      </c>
      <c r="AM88" s="44">
        <f t="shared" si="4"/>
        <v>0</v>
      </c>
      <c r="AN88" s="44">
        <f t="shared" si="4"/>
        <v>0</v>
      </c>
    </row>
    <row r="89" spans="1:40" s="36" customFormat="1" ht="23.25" customHeight="1" x14ac:dyDescent="0.45">
      <c r="A89" s="4" t="s">
        <v>159</v>
      </c>
      <c r="B89" s="54"/>
      <c r="C89" s="15">
        <f>+C74-C85+SUM(C88)</f>
        <v>556133</v>
      </c>
      <c r="D89" s="15"/>
      <c r="E89" s="15">
        <f>+E74-E85+SUM(E88)</f>
        <v>394336</v>
      </c>
      <c r="F89" s="15"/>
      <c r="G89" s="15">
        <f>+G74-G85+SUM(G88)</f>
        <v>141244</v>
      </c>
      <c r="H89" s="15"/>
      <c r="I89" s="15">
        <f>+I74-I85+SUM(I88)</f>
        <v>-31377</v>
      </c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X89" s="4" t="s">
        <v>159</v>
      </c>
      <c r="Y89" s="54"/>
      <c r="Z89" s="15">
        <f>310984-65343+130689</f>
        <v>376330</v>
      </c>
      <c r="AA89" s="15"/>
      <c r="AB89" s="15">
        <v>190420</v>
      </c>
      <c r="AC89" s="15"/>
      <c r="AD89" s="15">
        <v>51621</v>
      </c>
      <c r="AE89" s="15"/>
      <c r="AF89" s="15">
        <v>-22241</v>
      </c>
      <c r="AH89" s="44">
        <f t="shared" si="4"/>
        <v>179803</v>
      </c>
      <c r="AI89" s="44">
        <f t="shared" si="4"/>
        <v>0</v>
      </c>
      <c r="AJ89" s="44">
        <f t="shared" si="4"/>
        <v>203916</v>
      </c>
      <c r="AK89" s="44">
        <f t="shared" si="4"/>
        <v>0</v>
      </c>
      <c r="AL89" s="44">
        <f t="shared" si="4"/>
        <v>89623</v>
      </c>
      <c r="AM89" s="44">
        <f t="shared" si="4"/>
        <v>0</v>
      </c>
      <c r="AN89" s="44">
        <f t="shared" si="4"/>
        <v>-9136</v>
      </c>
    </row>
    <row r="90" spans="1:40" s="36" customFormat="1" ht="23.25" customHeight="1" x14ac:dyDescent="0.45">
      <c r="A90" s="1" t="s">
        <v>160</v>
      </c>
      <c r="B90" s="54">
        <v>15</v>
      </c>
      <c r="C90" s="98">
        <v>147560</v>
      </c>
      <c r="D90" s="9"/>
      <c r="E90" s="36">
        <v>118530</v>
      </c>
      <c r="F90" s="9"/>
      <c r="G90" s="36">
        <v>21712</v>
      </c>
      <c r="H90" s="9"/>
      <c r="I90" s="36">
        <v>-2111</v>
      </c>
      <c r="K90" s="3"/>
      <c r="L90" s="3"/>
      <c r="M90" s="3"/>
      <c r="N90" s="3"/>
      <c r="O90" s="3"/>
      <c r="P90" s="3"/>
      <c r="Q90" s="3"/>
      <c r="R90" s="3"/>
      <c r="S90" s="3"/>
      <c r="T90" s="3"/>
      <c r="U90" s="59">
        <f>C90/C89</f>
        <v>0.26533221369708326</v>
      </c>
      <c r="X90" s="1" t="s">
        <v>160</v>
      </c>
      <c r="Y90" s="54">
        <v>15</v>
      </c>
      <c r="Z90" s="98">
        <v>90316</v>
      </c>
      <c r="AA90" s="9"/>
      <c r="AB90" s="36">
        <v>64692</v>
      </c>
      <c r="AC90" s="9"/>
      <c r="AD90" s="36">
        <v>4021</v>
      </c>
      <c r="AE90" s="9"/>
      <c r="AF90" s="36">
        <v>-1936</v>
      </c>
      <c r="AH90" s="44">
        <f t="shared" si="4"/>
        <v>57244</v>
      </c>
      <c r="AI90" s="44">
        <f t="shared" si="4"/>
        <v>0</v>
      </c>
      <c r="AJ90" s="44">
        <f t="shared" si="4"/>
        <v>53838</v>
      </c>
      <c r="AK90" s="44">
        <f t="shared" si="4"/>
        <v>0</v>
      </c>
      <c r="AL90" s="44">
        <f t="shared" si="4"/>
        <v>17691</v>
      </c>
      <c r="AM90" s="44">
        <f t="shared" si="4"/>
        <v>0</v>
      </c>
      <c r="AN90" s="44">
        <f t="shared" si="4"/>
        <v>-175</v>
      </c>
    </row>
    <row r="91" spans="1:40" s="36" customFormat="1" ht="23.25" customHeight="1" x14ac:dyDescent="0.45">
      <c r="A91" s="4" t="s">
        <v>130</v>
      </c>
      <c r="B91" s="58"/>
      <c r="C91" s="99">
        <f>C89-C90</f>
        <v>408573</v>
      </c>
      <c r="D91" s="12"/>
      <c r="E91" s="99">
        <f>E89-E90</f>
        <v>275806</v>
      </c>
      <c r="F91" s="12"/>
      <c r="G91" s="99">
        <f>G89-G90</f>
        <v>119532</v>
      </c>
      <c r="H91" s="12"/>
      <c r="I91" s="99">
        <f>I89-I90</f>
        <v>-29266</v>
      </c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X91" s="4" t="s">
        <v>130</v>
      </c>
      <c r="Y91" s="58"/>
      <c r="Z91" s="99">
        <f>220668-65343+130689</f>
        <v>286014</v>
      </c>
      <c r="AA91" s="12"/>
      <c r="AB91" s="99">
        <v>125728</v>
      </c>
      <c r="AC91" s="12"/>
      <c r="AD91" s="99">
        <f>AD89-AD90</f>
        <v>47600</v>
      </c>
      <c r="AE91" s="12"/>
      <c r="AF91" s="99">
        <f>AF89-AF90</f>
        <v>-20305</v>
      </c>
      <c r="AH91" s="44">
        <f t="shared" si="4"/>
        <v>122559</v>
      </c>
      <c r="AI91" s="44">
        <f t="shared" si="4"/>
        <v>0</v>
      </c>
      <c r="AJ91" s="44">
        <f t="shared" si="4"/>
        <v>150078</v>
      </c>
      <c r="AK91" s="44">
        <f t="shared" si="4"/>
        <v>0</v>
      </c>
      <c r="AL91" s="44">
        <f t="shared" si="4"/>
        <v>71932</v>
      </c>
      <c r="AM91" s="44">
        <f t="shared" si="4"/>
        <v>0</v>
      </c>
      <c r="AN91" s="44">
        <f t="shared" si="4"/>
        <v>-8961</v>
      </c>
    </row>
    <row r="92" spans="1:40" s="36" customFormat="1" ht="23.25" customHeight="1" x14ac:dyDescent="0.45">
      <c r="A92" s="4" t="s">
        <v>124</v>
      </c>
      <c r="B92" s="56"/>
      <c r="C92" s="77">
        <v>0</v>
      </c>
      <c r="D92" s="171"/>
      <c r="E92" s="77">
        <v>0</v>
      </c>
      <c r="F92" s="171"/>
      <c r="G92" s="77">
        <v>0</v>
      </c>
      <c r="H92" s="171"/>
      <c r="I92" s="77">
        <v>0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X92" s="4" t="s">
        <v>124</v>
      </c>
      <c r="Y92" s="56"/>
      <c r="Z92" s="77">
        <v>0</v>
      </c>
      <c r="AA92" s="171"/>
      <c r="AB92" s="77">
        <v>0</v>
      </c>
      <c r="AC92" s="171"/>
      <c r="AD92" s="77">
        <v>0</v>
      </c>
      <c r="AE92" s="171"/>
      <c r="AF92" s="77">
        <v>0</v>
      </c>
      <c r="AH92" s="44">
        <f t="shared" si="4"/>
        <v>0</v>
      </c>
      <c r="AI92" s="44">
        <f t="shared" si="4"/>
        <v>0</v>
      </c>
      <c r="AJ92" s="44">
        <f t="shared" si="4"/>
        <v>0</v>
      </c>
      <c r="AK92" s="44">
        <f t="shared" si="4"/>
        <v>0</v>
      </c>
      <c r="AL92" s="44">
        <f t="shared" si="4"/>
        <v>0</v>
      </c>
      <c r="AM92" s="44">
        <f t="shared" si="4"/>
        <v>0</v>
      </c>
      <c r="AN92" s="44">
        <f t="shared" si="4"/>
        <v>0</v>
      </c>
    </row>
    <row r="93" spans="1:40" s="36" customFormat="1" ht="23.25" customHeight="1" thickBot="1" x14ac:dyDescent="0.5">
      <c r="A93" s="4" t="s">
        <v>161</v>
      </c>
      <c r="B93" s="56"/>
      <c r="C93" s="101">
        <f>C91</f>
        <v>408573</v>
      </c>
      <c r="D93" s="171"/>
      <c r="E93" s="101">
        <f>E91</f>
        <v>275806</v>
      </c>
      <c r="F93" s="171"/>
      <c r="G93" s="101">
        <f>G91</f>
        <v>119532</v>
      </c>
      <c r="H93" s="171"/>
      <c r="I93" s="101">
        <f>I91</f>
        <v>-29266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X93" s="4" t="s">
        <v>161</v>
      </c>
      <c r="Y93" s="56"/>
      <c r="Z93" s="101">
        <f>220668-65343+130689</f>
        <v>286014</v>
      </c>
      <c r="AA93" s="171"/>
      <c r="AB93" s="101">
        <v>125728</v>
      </c>
      <c r="AC93" s="171"/>
      <c r="AD93" s="101">
        <v>47600</v>
      </c>
      <c r="AE93" s="171"/>
      <c r="AF93" s="101">
        <v>-20305</v>
      </c>
      <c r="AH93" s="44">
        <f t="shared" si="4"/>
        <v>122559</v>
      </c>
      <c r="AI93" s="44">
        <f t="shared" si="4"/>
        <v>0</v>
      </c>
      <c r="AJ93" s="44">
        <f t="shared" si="4"/>
        <v>150078</v>
      </c>
      <c r="AK93" s="44">
        <f t="shared" si="4"/>
        <v>0</v>
      </c>
      <c r="AL93" s="44">
        <f t="shared" si="4"/>
        <v>71932</v>
      </c>
      <c r="AM93" s="44">
        <f t="shared" si="4"/>
        <v>0</v>
      </c>
      <c r="AN93" s="44">
        <f t="shared" si="4"/>
        <v>-8961</v>
      </c>
    </row>
    <row r="94" spans="1:40" s="36" customFormat="1" ht="23.25" customHeight="1" thickTop="1" x14ac:dyDescent="0.45">
      <c r="A94" s="4"/>
      <c r="B94" s="54"/>
      <c r="C94" s="73"/>
      <c r="D94" s="9"/>
      <c r="E94" s="73"/>
      <c r="F94" s="9"/>
      <c r="G94" s="73"/>
      <c r="H94" s="9"/>
      <c r="I94" s="7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X94" s="4"/>
      <c r="Y94" s="54"/>
      <c r="Z94" s="73"/>
      <c r="AA94" s="9"/>
      <c r="AB94" s="73"/>
      <c r="AC94" s="9"/>
      <c r="AD94" s="73"/>
      <c r="AE94" s="9"/>
      <c r="AF94" s="73"/>
    </row>
    <row r="95" spans="1:40" s="36" customFormat="1" ht="23.25" customHeight="1" x14ac:dyDescent="0.5">
      <c r="A95" s="37" t="s">
        <v>82</v>
      </c>
      <c r="B95" s="54"/>
      <c r="C95" s="59"/>
      <c r="D95" s="3"/>
      <c r="E95" s="59"/>
      <c r="F95" s="59"/>
      <c r="G95" s="59"/>
      <c r="H95" s="59"/>
      <c r="I95" s="59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X95" s="37" t="s">
        <v>82</v>
      </c>
      <c r="Y95" s="54"/>
      <c r="Z95" s="59"/>
      <c r="AA95" s="3"/>
      <c r="AB95" s="59"/>
      <c r="AC95" s="59"/>
      <c r="AD95" s="59"/>
      <c r="AE95" s="59"/>
      <c r="AF95" s="59"/>
    </row>
    <row r="96" spans="1:40" s="36" customFormat="1" ht="23.25" customHeight="1" x14ac:dyDescent="0.5">
      <c r="A96" s="37" t="s">
        <v>71</v>
      </c>
      <c r="B96" s="55"/>
      <c r="C96" s="20"/>
      <c r="D96" s="169"/>
      <c r="E96" s="20"/>
      <c r="F96" s="3"/>
      <c r="G96" s="3"/>
      <c r="H96" s="3"/>
      <c r="I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X96" s="37" t="s">
        <v>71</v>
      </c>
      <c r="Y96" s="55"/>
      <c r="Z96" s="20"/>
      <c r="AA96" s="169"/>
      <c r="AB96" s="20"/>
      <c r="AC96" s="3"/>
      <c r="AD96" s="3"/>
      <c r="AE96" s="3"/>
      <c r="AF96" s="3"/>
    </row>
    <row r="97" spans="1:40" ht="23.25" customHeight="1" x14ac:dyDescent="0.45">
      <c r="X97" s="1"/>
      <c r="Y97" s="54"/>
      <c r="AG97" s="36"/>
      <c r="AH97" s="36"/>
      <c r="AI97" s="36"/>
      <c r="AJ97" s="36"/>
      <c r="AK97" s="36"/>
      <c r="AL97" s="36"/>
    </row>
    <row r="98" spans="1:40" s="36" customFormat="1" ht="23.25" customHeight="1" x14ac:dyDescent="0.45">
      <c r="A98" s="1"/>
      <c r="B98" s="54"/>
      <c r="C98" s="179" t="s">
        <v>32</v>
      </c>
      <c r="D98" s="179"/>
      <c r="E98" s="179"/>
      <c r="F98" s="169"/>
      <c r="G98" s="179" t="s">
        <v>46</v>
      </c>
      <c r="H98" s="179"/>
      <c r="I98" s="179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X98" s="1"/>
      <c r="Y98" s="54"/>
      <c r="Z98" s="16" t="s">
        <v>32</v>
      </c>
      <c r="AA98" s="16"/>
      <c r="AB98" s="16"/>
      <c r="AC98" s="169"/>
      <c r="AD98" s="16" t="s">
        <v>46</v>
      </c>
      <c r="AE98" s="16"/>
      <c r="AF98" s="16"/>
    </row>
    <row r="99" spans="1:40" s="36" customFormat="1" ht="23.25" customHeight="1" x14ac:dyDescent="0.45">
      <c r="A99" s="1"/>
      <c r="B99" s="54"/>
      <c r="C99" s="180" t="s">
        <v>148</v>
      </c>
      <c r="D99" s="180"/>
      <c r="E99" s="180"/>
      <c r="F99" s="170"/>
      <c r="G99" s="180" t="s">
        <v>148</v>
      </c>
      <c r="H99" s="180"/>
      <c r="I99" s="180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X99" s="1"/>
      <c r="Y99" s="54"/>
      <c r="Z99" s="3" t="s">
        <v>219</v>
      </c>
      <c r="AA99" s="3"/>
      <c r="AB99" s="3"/>
      <c r="AC99" s="170"/>
      <c r="AD99" s="3" t="s">
        <v>219</v>
      </c>
      <c r="AE99" s="3"/>
      <c r="AF99" s="3"/>
      <c r="AG99" s="3"/>
      <c r="AH99" s="3"/>
      <c r="AI99" s="3"/>
      <c r="AJ99" s="3"/>
      <c r="AK99" s="3"/>
      <c r="AL99" s="3"/>
    </row>
    <row r="100" spans="1:40" s="36" customFormat="1" ht="23.25" customHeight="1" x14ac:dyDescent="0.45">
      <c r="A100" s="1"/>
      <c r="B100" s="54"/>
      <c r="C100" s="180" t="s">
        <v>143</v>
      </c>
      <c r="D100" s="180"/>
      <c r="E100" s="180"/>
      <c r="F100" s="170"/>
      <c r="G100" s="180" t="s">
        <v>143</v>
      </c>
      <c r="H100" s="180"/>
      <c r="I100" s="180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X100" s="1"/>
      <c r="Y100" s="54"/>
      <c r="Z100" s="3" t="s">
        <v>220</v>
      </c>
      <c r="AA100" s="3"/>
      <c r="AB100" s="3"/>
      <c r="AC100" s="170"/>
      <c r="AD100" s="3" t="s">
        <v>220</v>
      </c>
      <c r="AE100" s="3"/>
      <c r="AF100" s="3"/>
    </row>
    <row r="101" spans="1:40" s="36" customFormat="1" ht="23.25" customHeight="1" x14ac:dyDescent="0.45">
      <c r="A101" s="4"/>
      <c r="B101" s="56" t="s">
        <v>1</v>
      </c>
      <c r="C101" s="170">
        <v>2562</v>
      </c>
      <c r="D101" s="170"/>
      <c r="E101" s="170">
        <v>2561</v>
      </c>
      <c r="F101" s="170"/>
      <c r="G101" s="170">
        <v>2562</v>
      </c>
      <c r="H101" s="170"/>
      <c r="I101" s="170">
        <v>2561</v>
      </c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X101" s="4"/>
      <c r="Y101" s="56" t="s">
        <v>1</v>
      </c>
      <c r="Z101" s="170">
        <v>2562</v>
      </c>
      <c r="AA101" s="170"/>
      <c r="AB101" s="170">
        <v>2561</v>
      </c>
      <c r="AC101" s="170"/>
      <c r="AD101" s="170">
        <v>2562</v>
      </c>
      <c r="AE101" s="170"/>
      <c r="AF101" s="170">
        <v>2561</v>
      </c>
    </row>
    <row r="102" spans="1:40" s="36" customFormat="1" ht="23.25" customHeight="1" x14ac:dyDescent="0.45">
      <c r="A102" s="1"/>
      <c r="B102" s="56"/>
      <c r="C102" s="181" t="s">
        <v>73</v>
      </c>
      <c r="D102" s="181"/>
      <c r="E102" s="181"/>
      <c r="F102" s="181"/>
      <c r="G102" s="181"/>
      <c r="H102" s="181"/>
      <c r="I102" s="181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X102" s="1"/>
      <c r="Y102" s="56"/>
      <c r="Z102" s="21" t="s">
        <v>73</v>
      </c>
      <c r="AA102" s="21"/>
      <c r="AB102" s="21"/>
      <c r="AC102" s="21"/>
      <c r="AD102" s="21"/>
      <c r="AE102" s="21"/>
      <c r="AF102" s="21"/>
    </row>
    <row r="103" spans="1:40" s="36" customFormat="1" ht="23.25" customHeight="1" x14ac:dyDescent="0.45">
      <c r="A103" s="4" t="s">
        <v>162</v>
      </c>
      <c r="B103" s="54"/>
      <c r="C103" s="102"/>
      <c r="D103" s="2"/>
      <c r="E103" s="2"/>
      <c r="F103" s="2"/>
      <c r="G103" s="2"/>
      <c r="H103" s="2"/>
      <c r="I103" s="2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X103" s="4" t="s">
        <v>162</v>
      </c>
      <c r="Y103" s="54"/>
      <c r="Z103" s="102"/>
      <c r="AA103" s="2"/>
      <c r="AB103" s="2"/>
      <c r="AC103" s="2"/>
      <c r="AD103" s="2"/>
      <c r="AE103" s="2"/>
      <c r="AF103" s="2"/>
    </row>
    <row r="104" spans="1:40" s="36" customFormat="1" ht="23.25" customHeight="1" x14ac:dyDescent="0.45">
      <c r="A104" s="1" t="s">
        <v>163</v>
      </c>
      <c r="B104" s="54"/>
      <c r="C104" s="36">
        <f>C106-C105</f>
        <v>366835</v>
      </c>
      <c r="E104" s="36">
        <f>E106-E105</f>
        <v>226913</v>
      </c>
      <c r="G104" s="36">
        <f>G106-G105</f>
        <v>119532</v>
      </c>
      <c r="I104" s="36">
        <f>I106-I105</f>
        <v>-29266</v>
      </c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X104" s="1" t="s">
        <v>163</v>
      </c>
      <c r="Y104" s="54"/>
      <c r="Z104" s="36">
        <f>184099-65343+130689</f>
        <v>249445</v>
      </c>
      <c r="AB104" s="36">
        <v>94832</v>
      </c>
      <c r="AD104" s="36">
        <v>47600</v>
      </c>
      <c r="AF104" s="36">
        <v>-20305</v>
      </c>
      <c r="AH104" s="44">
        <f t="shared" ref="AH104:AN106" si="5">C104-Z104</f>
        <v>117390</v>
      </c>
      <c r="AI104" s="44">
        <f t="shared" si="5"/>
        <v>0</v>
      </c>
      <c r="AJ104" s="44">
        <f t="shared" si="5"/>
        <v>132081</v>
      </c>
      <c r="AK104" s="44">
        <f t="shared" si="5"/>
        <v>0</v>
      </c>
      <c r="AL104" s="44">
        <f t="shared" si="5"/>
        <v>71932</v>
      </c>
      <c r="AM104" s="44">
        <f t="shared" si="5"/>
        <v>0</v>
      </c>
      <c r="AN104" s="44">
        <f t="shared" si="5"/>
        <v>-8961</v>
      </c>
    </row>
    <row r="105" spans="1:40" s="36" customFormat="1" ht="23.25" customHeight="1" x14ac:dyDescent="0.45">
      <c r="A105" s="1" t="s">
        <v>164</v>
      </c>
      <c r="B105" s="54"/>
      <c r="C105" s="42">
        <v>41738</v>
      </c>
      <c r="D105" s="103"/>
      <c r="E105" s="42">
        <v>48893</v>
      </c>
      <c r="F105" s="103"/>
      <c r="G105" s="36">
        <v>0</v>
      </c>
      <c r="H105" s="104"/>
      <c r="I105" s="29">
        <v>0</v>
      </c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X105" s="1" t="s">
        <v>164</v>
      </c>
      <c r="Y105" s="54"/>
      <c r="Z105" s="42">
        <v>36569</v>
      </c>
      <c r="AA105" s="103"/>
      <c r="AB105" s="42">
        <v>30896</v>
      </c>
      <c r="AC105" s="103"/>
      <c r="AD105" s="36">
        <v>0</v>
      </c>
      <c r="AE105" s="104"/>
      <c r="AF105" s="29">
        <v>0</v>
      </c>
      <c r="AH105" s="44">
        <f t="shared" si="5"/>
        <v>5169</v>
      </c>
      <c r="AI105" s="44">
        <f t="shared" si="5"/>
        <v>0</v>
      </c>
      <c r="AJ105" s="44">
        <f t="shared" si="5"/>
        <v>17997</v>
      </c>
      <c r="AK105" s="44">
        <f t="shared" si="5"/>
        <v>0</v>
      </c>
      <c r="AL105" s="44">
        <f t="shared" si="5"/>
        <v>0</v>
      </c>
      <c r="AM105" s="44">
        <f t="shared" si="5"/>
        <v>0</v>
      </c>
      <c r="AN105" s="44">
        <f t="shared" si="5"/>
        <v>0</v>
      </c>
    </row>
    <row r="106" spans="1:40" s="36" customFormat="1" ht="23.25" customHeight="1" thickBot="1" x14ac:dyDescent="0.5">
      <c r="A106" s="4" t="s">
        <v>130</v>
      </c>
      <c r="B106" s="54"/>
      <c r="C106" s="105">
        <f>C91</f>
        <v>408573</v>
      </c>
      <c r="D106" s="106"/>
      <c r="E106" s="107">
        <f>E91</f>
        <v>275806</v>
      </c>
      <c r="F106" s="106"/>
      <c r="G106" s="107">
        <f>G91</f>
        <v>119532</v>
      </c>
      <c r="H106" s="106"/>
      <c r="I106" s="107">
        <f>I91</f>
        <v>-29266</v>
      </c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X106" s="4" t="s">
        <v>130</v>
      </c>
      <c r="Y106" s="54"/>
      <c r="Z106" s="105">
        <f>220668-65343+130689</f>
        <v>286014</v>
      </c>
      <c r="AA106" s="106"/>
      <c r="AB106" s="107">
        <v>125728</v>
      </c>
      <c r="AC106" s="106"/>
      <c r="AD106" s="107">
        <v>47600</v>
      </c>
      <c r="AE106" s="106"/>
      <c r="AF106" s="107">
        <v>-20305</v>
      </c>
      <c r="AH106" s="44">
        <f t="shared" si="5"/>
        <v>122559</v>
      </c>
      <c r="AI106" s="44">
        <f t="shared" si="5"/>
        <v>0</v>
      </c>
      <c r="AJ106" s="44">
        <f t="shared" si="5"/>
        <v>150078</v>
      </c>
      <c r="AK106" s="44">
        <f t="shared" si="5"/>
        <v>0</v>
      </c>
      <c r="AL106" s="44">
        <f t="shared" si="5"/>
        <v>71932</v>
      </c>
      <c r="AM106" s="44">
        <f t="shared" si="5"/>
        <v>0</v>
      </c>
      <c r="AN106" s="44">
        <f t="shared" si="5"/>
        <v>-8961</v>
      </c>
    </row>
    <row r="107" spans="1:40" s="36" customFormat="1" ht="23.25" customHeight="1" thickTop="1" x14ac:dyDescent="0.45">
      <c r="A107" s="4"/>
      <c r="B107" s="54"/>
      <c r="C107" s="108"/>
      <c r="D107" s="106"/>
      <c r="E107" s="109"/>
      <c r="F107" s="106"/>
      <c r="G107" s="110"/>
      <c r="H107" s="106"/>
      <c r="I107" s="110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X107" s="4"/>
      <c r="Y107" s="54"/>
      <c r="Z107" s="108"/>
      <c r="AA107" s="106"/>
      <c r="AB107" s="109"/>
      <c r="AC107" s="106"/>
      <c r="AD107" s="110"/>
      <c r="AE107" s="106"/>
      <c r="AF107" s="110"/>
    </row>
    <row r="108" spans="1:40" s="36" customFormat="1" ht="23.25" customHeight="1" x14ac:dyDescent="0.45">
      <c r="A108" s="4" t="s">
        <v>165</v>
      </c>
      <c r="B108" s="54"/>
      <c r="C108" s="102"/>
      <c r="D108" s="2"/>
      <c r="E108" s="2"/>
      <c r="F108" s="2"/>
      <c r="G108" s="2"/>
      <c r="H108" s="2"/>
      <c r="I108" s="2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X108" s="4" t="s">
        <v>165</v>
      </c>
      <c r="Y108" s="54"/>
      <c r="Z108" s="102"/>
      <c r="AA108" s="2"/>
      <c r="AB108" s="2"/>
      <c r="AC108" s="2"/>
      <c r="AD108" s="2"/>
      <c r="AE108" s="2"/>
      <c r="AF108" s="2"/>
    </row>
    <row r="109" spans="1:40" s="36" customFormat="1" ht="23.25" customHeight="1" x14ac:dyDescent="0.45">
      <c r="A109" s="1" t="s">
        <v>163</v>
      </c>
      <c r="B109" s="54"/>
      <c r="C109" s="36">
        <f>C111-C110</f>
        <v>366835</v>
      </c>
      <c r="E109" s="36">
        <f>E111-E110</f>
        <v>226913</v>
      </c>
      <c r="G109" s="36">
        <f>G111-G110</f>
        <v>119532</v>
      </c>
      <c r="I109" s="36">
        <f>I111-I110</f>
        <v>-29266</v>
      </c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X109" s="1" t="s">
        <v>163</v>
      </c>
      <c r="Y109" s="54"/>
      <c r="Z109" s="36">
        <f>184099-65343+130689</f>
        <v>249445</v>
      </c>
      <c r="AB109" s="36">
        <v>94832</v>
      </c>
      <c r="AD109" s="36">
        <v>47600</v>
      </c>
      <c r="AF109" s="36">
        <v>-20305</v>
      </c>
      <c r="AH109" s="44">
        <f t="shared" ref="AH109:AN111" si="6">C109-Z109</f>
        <v>117390</v>
      </c>
      <c r="AI109" s="44">
        <f t="shared" si="6"/>
        <v>0</v>
      </c>
      <c r="AJ109" s="44">
        <f t="shared" si="6"/>
        <v>132081</v>
      </c>
      <c r="AK109" s="44">
        <f t="shared" si="6"/>
        <v>0</v>
      </c>
      <c r="AL109" s="44">
        <f t="shared" si="6"/>
        <v>71932</v>
      </c>
      <c r="AM109" s="44">
        <f t="shared" si="6"/>
        <v>0</v>
      </c>
      <c r="AN109" s="44">
        <f t="shared" si="6"/>
        <v>-8961</v>
      </c>
    </row>
    <row r="110" spans="1:40" s="36" customFormat="1" ht="23.25" customHeight="1" x14ac:dyDescent="0.45">
      <c r="A110" s="1" t="s">
        <v>164</v>
      </c>
      <c r="B110" s="54"/>
      <c r="C110" s="98">
        <f>+C105</f>
        <v>41738</v>
      </c>
      <c r="D110" s="103"/>
      <c r="E110" s="42">
        <v>48893</v>
      </c>
      <c r="F110" s="103"/>
      <c r="G110" s="36">
        <f>+G105</f>
        <v>0</v>
      </c>
      <c r="H110" s="104"/>
      <c r="I110" s="29">
        <v>0</v>
      </c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X110" s="1" t="s">
        <v>164</v>
      </c>
      <c r="Y110" s="54"/>
      <c r="Z110" s="98">
        <v>36569</v>
      </c>
      <c r="AA110" s="103"/>
      <c r="AB110" s="42">
        <v>30896</v>
      </c>
      <c r="AC110" s="103"/>
      <c r="AD110" s="36">
        <v>0</v>
      </c>
      <c r="AE110" s="104"/>
      <c r="AF110" s="29">
        <v>0</v>
      </c>
      <c r="AH110" s="44">
        <f t="shared" si="6"/>
        <v>5169</v>
      </c>
      <c r="AI110" s="44">
        <f t="shared" si="6"/>
        <v>0</v>
      </c>
      <c r="AJ110" s="44">
        <f t="shared" si="6"/>
        <v>17997</v>
      </c>
      <c r="AK110" s="44">
        <f t="shared" si="6"/>
        <v>0</v>
      </c>
      <c r="AL110" s="44">
        <f t="shared" si="6"/>
        <v>0</v>
      </c>
      <c r="AM110" s="44">
        <f t="shared" si="6"/>
        <v>0</v>
      </c>
      <c r="AN110" s="44">
        <f t="shared" si="6"/>
        <v>0</v>
      </c>
    </row>
    <row r="111" spans="1:40" s="36" customFormat="1" ht="23.25" customHeight="1" thickBot="1" x14ac:dyDescent="0.5">
      <c r="A111" s="4" t="s">
        <v>161</v>
      </c>
      <c r="B111" s="54"/>
      <c r="C111" s="105">
        <f>C91</f>
        <v>408573</v>
      </c>
      <c r="D111" s="106"/>
      <c r="E111" s="105">
        <f>E91</f>
        <v>275806</v>
      </c>
      <c r="F111" s="106"/>
      <c r="G111" s="105">
        <f>G91</f>
        <v>119532</v>
      </c>
      <c r="H111" s="106"/>
      <c r="I111" s="105">
        <f>I91</f>
        <v>-29266</v>
      </c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X111" s="4" t="s">
        <v>161</v>
      </c>
      <c r="Y111" s="54"/>
      <c r="Z111" s="105">
        <f>220668-65343+130689</f>
        <v>286014</v>
      </c>
      <c r="AA111" s="106"/>
      <c r="AB111" s="105">
        <v>125728</v>
      </c>
      <c r="AC111" s="106"/>
      <c r="AD111" s="105">
        <v>47600</v>
      </c>
      <c r="AE111" s="106"/>
      <c r="AF111" s="105">
        <v>-20305</v>
      </c>
      <c r="AH111" s="44">
        <f t="shared" si="6"/>
        <v>122559</v>
      </c>
      <c r="AI111" s="44">
        <f t="shared" si="6"/>
        <v>0</v>
      </c>
      <c r="AJ111" s="44">
        <f t="shared" si="6"/>
        <v>150078</v>
      </c>
      <c r="AK111" s="44">
        <f t="shared" si="6"/>
        <v>0</v>
      </c>
      <c r="AL111" s="44">
        <f t="shared" si="6"/>
        <v>71932</v>
      </c>
      <c r="AM111" s="44">
        <f t="shared" si="6"/>
        <v>0</v>
      </c>
      <c r="AN111" s="44">
        <f t="shared" si="6"/>
        <v>-8961</v>
      </c>
    </row>
    <row r="112" spans="1:40" s="36" customFormat="1" ht="23.25" customHeight="1" thickTop="1" x14ac:dyDescent="0.45">
      <c r="A112" s="4"/>
      <c r="B112" s="54"/>
      <c r="C112" s="108"/>
      <c r="D112" s="106"/>
      <c r="E112" s="109"/>
      <c r="F112" s="106"/>
      <c r="G112" s="110"/>
      <c r="H112" s="106"/>
      <c r="I112" s="110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X112" s="4"/>
      <c r="Y112" s="54"/>
      <c r="Z112" s="108"/>
      <c r="AA112" s="106"/>
      <c r="AB112" s="109"/>
      <c r="AC112" s="106"/>
      <c r="AD112" s="110"/>
      <c r="AE112" s="106"/>
      <c r="AF112" s="110"/>
    </row>
    <row r="113" spans="1:32" s="36" customFormat="1" ht="23.25" customHeight="1" x14ac:dyDescent="0.45">
      <c r="A113" s="4" t="s">
        <v>169</v>
      </c>
      <c r="B113" s="54"/>
      <c r="C113" s="111"/>
      <c r="D113" s="3"/>
      <c r="E113" s="3"/>
      <c r="F113" s="3"/>
      <c r="G113" s="3"/>
      <c r="H113" s="3"/>
      <c r="I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X113" s="4" t="s">
        <v>169</v>
      </c>
      <c r="Y113" s="54"/>
      <c r="Z113" s="111"/>
      <c r="AA113" s="3"/>
      <c r="AB113" s="3"/>
      <c r="AC113" s="3"/>
      <c r="AD113" s="3"/>
      <c r="AE113" s="3"/>
      <c r="AF113" s="3"/>
    </row>
    <row r="114" spans="1:32" s="36" customFormat="1" ht="23.25" customHeight="1" thickBot="1" x14ac:dyDescent="0.5">
      <c r="A114" s="1" t="s">
        <v>167</v>
      </c>
      <c r="B114" s="54">
        <v>16</v>
      </c>
      <c r="C114" s="158">
        <f>C104/'BS3'!C83</f>
        <v>5.6437629907243728E-2</v>
      </c>
      <c r="D114" s="159"/>
      <c r="E114" s="160">
        <v>3.6999999999999998E-2</v>
      </c>
      <c r="F114" s="159"/>
      <c r="G114" s="160">
        <f>G104/'BS3'!G83</f>
        <v>1.8390019431277434E-2</v>
      </c>
      <c r="H114" s="159"/>
      <c r="I114" s="112">
        <v>-4.7999999999999996E-3</v>
      </c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X114" s="1" t="s">
        <v>167</v>
      </c>
      <c r="Y114" s="54">
        <v>16</v>
      </c>
      <c r="Z114" s="164">
        <v>2.8323663849669913E-2</v>
      </c>
      <c r="AA114" s="165"/>
      <c r="AB114" s="112">
        <v>1.6E-2</v>
      </c>
      <c r="AC114" s="165"/>
      <c r="AD114" s="112">
        <v>7.3232684547134309E-3</v>
      </c>
      <c r="AE114" s="165"/>
      <c r="AF114" s="112">
        <v>-3.0000000000000001E-3</v>
      </c>
    </row>
    <row r="115" spans="1:32" s="36" customFormat="1" ht="23.25" customHeight="1" thickTop="1" thickBot="1" x14ac:dyDescent="0.5">
      <c r="A115" s="1" t="s">
        <v>168</v>
      </c>
      <c r="B115" s="54">
        <v>16</v>
      </c>
      <c r="C115" s="161">
        <f>C104/'BS3'!C83</f>
        <v>5.6437629907243728E-2</v>
      </c>
      <c r="D115" s="162"/>
      <c r="E115" s="160">
        <v>3.56E-2</v>
      </c>
      <c r="F115" s="162"/>
      <c r="G115" s="163">
        <f>G104/'BS3'!G83</f>
        <v>1.8390019431277434E-2</v>
      </c>
      <c r="H115" s="162"/>
      <c r="I115" s="112">
        <v>-4.7999999999999996E-3</v>
      </c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X115" s="1" t="s">
        <v>168</v>
      </c>
      <c r="Y115" s="54">
        <v>16</v>
      </c>
      <c r="Z115" s="166">
        <v>2.8323663849669913E-2</v>
      </c>
      <c r="AA115" s="3"/>
      <c r="AB115" s="112">
        <v>1.4999999999999999E-2</v>
      </c>
      <c r="AC115" s="3"/>
      <c r="AD115" s="167">
        <v>7.3232684547134309E-3</v>
      </c>
      <c r="AE115" s="3"/>
      <c r="AF115" s="112">
        <v>-3.0000000000000001E-3</v>
      </c>
    </row>
    <row r="116" spans="1:32" s="36" customFormat="1" ht="23.25" customHeight="1" thickTop="1" x14ac:dyDescent="0.45">
      <c r="A116" s="1"/>
      <c r="B116" s="54"/>
      <c r="C116" s="3"/>
      <c r="D116" s="3"/>
      <c r="E116" s="3"/>
      <c r="F116" s="3"/>
      <c r="G116" s="3"/>
      <c r="H116" s="3"/>
      <c r="I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</sheetData>
  <mergeCells count="34">
    <mergeCell ref="C4:E4"/>
    <mergeCell ref="G4:I4"/>
    <mergeCell ref="C5:E5"/>
    <mergeCell ref="G5:I5"/>
    <mergeCell ref="C6:E6"/>
    <mergeCell ref="G6:I6"/>
    <mergeCell ref="C64:E64"/>
    <mergeCell ref="G64:I64"/>
    <mergeCell ref="C8:I8"/>
    <mergeCell ref="C40:E40"/>
    <mergeCell ref="G40:I40"/>
    <mergeCell ref="C41:E41"/>
    <mergeCell ref="G41:I41"/>
    <mergeCell ref="C42:E42"/>
    <mergeCell ref="G42:I42"/>
    <mergeCell ref="C44:I44"/>
    <mergeCell ref="C62:E62"/>
    <mergeCell ref="G62:I62"/>
    <mergeCell ref="C63:E63"/>
    <mergeCell ref="G63:I63"/>
    <mergeCell ref="C102:I102"/>
    <mergeCell ref="C66:I66"/>
    <mergeCell ref="C98:E98"/>
    <mergeCell ref="G98:I98"/>
    <mergeCell ref="C99:E99"/>
    <mergeCell ref="G99:I99"/>
    <mergeCell ref="C100:E100"/>
    <mergeCell ref="G100:I100"/>
    <mergeCell ref="AH62:AJ62"/>
    <mergeCell ref="AL62:AN62"/>
    <mergeCell ref="AH63:AJ63"/>
    <mergeCell ref="AL63:AN63"/>
    <mergeCell ref="AH64:AJ64"/>
    <mergeCell ref="AL64:AN64"/>
  </mergeCells>
  <pageMargins left="0.8" right="0.8" top="0.48" bottom="0.5" header="0.5" footer="0.5"/>
  <pageSetup paperSize="9" scale="83" firstPageNumber="6" fitToHeight="0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3" manualBreakCount="3">
    <brk id="36" max="16383" man="1"/>
    <brk id="58" max="16383" man="1"/>
    <brk id="94" max="16383" man="1"/>
  </rowBreaks>
  <colBreaks count="1" manualBreakCount="1">
    <brk id="9" max="1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9AC1B-0C45-4B68-9B81-CAB68E8ADE40}">
  <sheetPr>
    <pageSetUpPr fitToPage="1"/>
  </sheetPr>
  <dimension ref="A1:V32"/>
  <sheetViews>
    <sheetView view="pageBreakPreview" topLeftCell="A11" zoomScale="60" zoomScaleNormal="80" workbookViewId="0">
      <selection activeCell="G19" sqref="G19"/>
    </sheetView>
  </sheetViews>
  <sheetFormatPr defaultColWidth="9.28515625" defaultRowHeight="23.25" customHeight="1" x14ac:dyDescent="0.5"/>
  <cols>
    <col min="1" max="1" width="53.42578125" customWidth="1"/>
    <col min="2" max="2" width="9.5703125" bestFit="1" customWidth="1"/>
    <col min="3" max="3" width="11.7109375" customWidth="1"/>
    <col min="4" max="4" width="1.5703125" customWidth="1"/>
    <col min="5" max="5" width="11.42578125" customWidth="1"/>
    <col min="6" max="6" width="1.5703125" customWidth="1"/>
    <col min="7" max="7" width="12.42578125" customWidth="1"/>
    <col min="8" max="8" width="1.42578125" customWidth="1"/>
    <col min="9" max="9" width="14.42578125" bestFit="1" customWidth="1"/>
    <col min="10" max="10" width="1.42578125" customWidth="1"/>
    <col min="11" max="11" width="11.7109375" customWidth="1"/>
    <col min="12" max="12" width="1.42578125" customWidth="1"/>
    <col min="13" max="13" width="12" customWidth="1"/>
    <col min="14" max="14" width="1.42578125" customWidth="1"/>
    <col min="15" max="15" width="11.7109375" customWidth="1"/>
    <col min="16" max="16" width="1.42578125" customWidth="1"/>
    <col min="17" max="17" width="13.28515625" customWidth="1"/>
    <col min="18" max="18" width="1.42578125" customWidth="1"/>
    <col min="19" max="19" width="12.5703125" customWidth="1"/>
    <col min="20" max="20" width="1.42578125" customWidth="1"/>
    <col min="21" max="21" width="14.7109375" bestFit="1" customWidth="1"/>
    <col min="22" max="22" width="11" bestFit="1" customWidth="1"/>
    <col min="23" max="23" width="10" bestFit="1" customWidth="1"/>
  </cols>
  <sheetData>
    <row r="1" spans="1:22" ht="25.5" customHeight="1" x14ac:dyDescent="0.5">
      <c r="A1" s="18" t="s">
        <v>82</v>
      </c>
      <c r="B1" s="93"/>
      <c r="C1" s="3"/>
      <c r="D1" s="3"/>
      <c r="E1" s="3"/>
      <c r="F1" s="3"/>
      <c r="G1" s="6"/>
      <c r="H1" s="16" t="s">
        <v>40</v>
      </c>
      <c r="I1" s="16"/>
      <c r="J1" s="16"/>
      <c r="K1" s="16"/>
      <c r="L1" s="16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s="16" customFormat="1" ht="25.5" customHeight="1" x14ac:dyDescent="0.5">
      <c r="A2" s="18" t="s">
        <v>74</v>
      </c>
      <c r="B2" s="9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6" t="s">
        <v>18</v>
      </c>
    </row>
    <row r="3" spans="1:22" ht="21.75" customHeight="1" x14ac:dyDescent="0.5">
      <c r="A3" s="37"/>
      <c r="B3" s="60"/>
      <c r="C3" s="37"/>
      <c r="D3" s="37"/>
      <c r="E3" s="37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21.75" customHeight="1" x14ac:dyDescent="0.5">
      <c r="A4" s="61"/>
      <c r="B4" s="93"/>
      <c r="C4" s="182" t="s">
        <v>32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3"/>
    </row>
    <row r="5" spans="1:22" ht="21.75" customHeight="1" x14ac:dyDescent="0.5">
      <c r="A5" s="61"/>
      <c r="B5" s="93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6" t="s">
        <v>78</v>
      </c>
      <c r="P5" s="95"/>
      <c r="Q5" s="95"/>
      <c r="R5" s="95"/>
      <c r="S5" s="95"/>
      <c r="T5" s="95"/>
      <c r="U5" s="95"/>
      <c r="V5" s="3"/>
    </row>
    <row r="6" spans="1:22" ht="21.75" customHeight="1" x14ac:dyDescent="0.5">
      <c r="A6" s="61"/>
      <c r="B6" s="93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6" t="s">
        <v>79</v>
      </c>
      <c r="P6" s="95"/>
      <c r="Q6" s="95"/>
      <c r="R6" s="95"/>
      <c r="S6" s="95"/>
      <c r="T6" s="95"/>
      <c r="U6" s="95"/>
      <c r="V6" s="3"/>
    </row>
    <row r="7" spans="1:22" x14ac:dyDescent="0.5">
      <c r="A7" s="61"/>
      <c r="B7" s="62"/>
      <c r="C7" s="95"/>
      <c r="D7" s="95"/>
      <c r="E7" s="95"/>
      <c r="F7" s="95"/>
      <c r="G7" s="95"/>
      <c r="H7" s="95"/>
      <c r="I7" s="95"/>
      <c r="J7" s="95"/>
      <c r="K7" s="183" t="s">
        <v>15</v>
      </c>
      <c r="L7" s="183"/>
      <c r="M7" s="183"/>
      <c r="N7" s="95"/>
      <c r="O7" s="114" t="s">
        <v>80</v>
      </c>
      <c r="P7" s="95"/>
      <c r="Q7" s="23"/>
      <c r="R7" s="92"/>
      <c r="S7" s="22"/>
      <c r="T7" s="3"/>
      <c r="U7" s="91"/>
      <c r="V7" s="3"/>
    </row>
    <row r="8" spans="1:22" ht="21.75" customHeight="1" x14ac:dyDescent="0.5">
      <c r="A8" s="61"/>
      <c r="B8" s="62"/>
      <c r="C8" s="95"/>
      <c r="D8" s="95"/>
      <c r="E8" s="95"/>
      <c r="F8" s="95"/>
      <c r="G8" s="78" t="s">
        <v>85</v>
      </c>
      <c r="H8" s="95"/>
      <c r="I8" s="95"/>
      <c r="J8" s="95"/>
      <c r="K8" s="23"/>
      <c r="L8" s="23"/>
      <c r="M8" s="23"/>
      <c r="N8" s="95"/>
      <c r="O8" s="96"/>
      <c r="P8" s="95"/>
      <c r="Q8" s="63"/>
      <c r="R8" s="63"/>
      <c r="S8" s="63"/>
      <c r="T8" s="63"/>
      <c r="U8" s="63"/>
      <c r="V8" s="3"/>
    </row>
    <row r="9" spans="1:22" ht="21.75" customHeight="1" x14ac:dyDescent="0.5">
      <c r="A9" s="61"/>
      <c r="B9" s="62"/>
      <c r="C9" s="95"/>
      <c r="D9" s="95"/>
      <c r="E9" s="95"/>
      <c r="F9" s="95"/>
      <c r="G9" s="78" t="s">
        <v>86</v>
      </c>
      <c r="H9" s="95"/>
      <c r="I9" s="95"/>
      <c r="J9" s="95"/>
      <c r="K9" s="23"/>
      <c r="L9" s="23"/>
      <c r="M9" s="23"/>
      <c r="N9" s="95"/>
      <c r="O9" s="96" t="s">
        <v>85</v>
      </c>
      <c r="P9" s="95"/>
      <c r="Q9" s="63"/>
      <c r="R9" s="63"/>
      <c r="S9" s="63"/>
      <c r="T9" s="63"/>
      <c r="U9" s="63"/>
      <c r="V9" s="3"/>
    </row>
    <row r="10" spans="1:22" ht="21.75" customHeight="1" x14ac:dyDescent="0.5">
      <c r="A10" s="61"/>
      <c r="B10" s="62"/>
      <c r="C10" s="95"/>
      <c r="D10" s="95"/>
      <c r="E10" s="95"/>
      <c r="F10" s="95"/>
      <c r="G10" s="78" t="s">
        <v>87</v>
      </c>
      <c r="H10" s="95"/>
      <c r="I10" s="78" t="s">
        <v>91</v>
      </c>
      <c r="J10" s="95"/>
      <c r="K10" s="23"/>
      <c r="L10" s="23"/>
      <c r="M10" s="23"/>
      <c r="N10" s="95"/>
      <c r="O10" s="96" t="s">
        <v>92</v>
      </c>
      <c r="P10" s="95"/>
      <c r="Q10" s="63"/>
      <c r="R10" s="63"/>
      <c r="S10" s="63" t="s">
        <v>39</v>
      </c>
      <c r="T10" s="63"/>
      <c r="U10" s="63"/>
      <c r="V10" s="3"/>
    </row>
    <row r="11" spans="1:22" ht="21.75" customHeight="1" x14ac:dyDescent="0.5">
      <c r="A11" s="61"/>
      <c r="B11" s="94"/>
      <c r="C11" s="92" t="s">
        <v>0</v>
      </c>
      <c r="D11" s="3"/>
      <c r="E11" s="92"/>
      <c r="F11" s="92"/>
      <c r="G11" s="92" t="s">
        <v>88</v>
      </c>
      <c r="H11" s="96"/>
      <c r="I11" s="78" t="s">
        <v>92</v>
      </c>
      <c r="J11" s="96"/>
      <c r="K11" s="22"/>
      <c r="L11" s="22"/>
      <c r="M11" s="22"/>
      <c r="N11" s="64"/>
      <c r="O11" s="63" t="s">
        <v>95</v>
      </c>
      <c r="P11" s="64"/>
      <c r="Q11" s="92" t="s">
        <v>170</v>
      </c>
      <c r="R11" s="63"/>
      <c r="S11" s="63" t="s">
        <v>171</v>
      </c>
      <c r="T11" s="63"/>
      <c r="U11" s="63"/>
      <c r="V11" s="3"/>
    </row>
    <row r="12" spans="1:22" ht="21.75" customHeight="1" x14ac:dyDescent="0.5">
      <c r="A12" s="61"/>
      <c r="B12" s="94"/>
      <c r="C12" s="92" t="s">
        <v>59</v>
      </c>
      <c r="D12" s="3"/>
      <c r="E12" s="92" t="s">
        <v>38</v>
      </c>
      <c r="F12" s="92"/>
      <c r="G12" s="92" t="s">
        <v>89</v>
      </c>
      <c r="H12" s="96"/>
      <c r="I12" s="78" t="s">
        <v>93</v>
      </c>
      <c r="J12" s="96"/>
      <c r="K12" s="92" t="s">
        <v>60</v>
      </c>
      <c r="L12" s="92"/>
      <c r="M12" s="92" t="s">
        <v>61</v>
      </c>
      <c r="N12" s="96"/>
      <c r="O12" s="115" t="s">
        <v>96</v>
      </c>
      <c r="P12" s="96"/>
      <c r="Q12" s="63" t="s">
        <v>172</v>
      </c>
      <c r="R12" s="92"/>
      <c r="S12" s="92" t="s">
        <v>173</v>
      </c>
      <c r="T12" s="92"/>
      <c r="U12" s="92" t="s">
        <v>170</v>
      </c>
      <c r="V12" s="3"/>
    </row>
    <row r="13" spans="1:22" ht="21.75" customHeight="1" x14ac:dyDescent="0.5">
      <c r="A13" s="61"/>
      <c r="B13" s="65" t="s">
        <v>1</v>
      </c>
      <c r="C13" s="92" t="s">
        <v>35</v>
      </c>
      <c r="D13" s="3"/>
      <c r="E13" s="92" t="s">
        <v>37</v>
      </c>
      <c r="F13" s="92"/>
      <c r="G13" s="92" t="s">
        <v>90</v>
      </c>
      <c r="H13" s="96"/>
      <c r="I13" s="78" t="s">
        <v>94</v>
      </c>
      <c r="J13" s="96"/>
      <c r="K13" s="92" t="s">
        <v>36</v>
      </c>
      <c r="L13" s="92"/>
      <c r="M13" s="92" t="s">
        <v>62</v>
      </c>
      <c r="N13" s="96"/>
      <c r="O13" s="63" t="s">
        <v>97</v>
      </c>
      <c r="P13" s="96"/>
      <c r="Q13" s="63" t="s">
        <v>174</v>
      </c>
      <c r="R13" s="63"/>
      <c r="S13" s="63" t="s">
        <v>63</v>
      </c>
      <c r="T13" s="63"/>
      <c r="U13" s="63" t="s">
        <v>172</v>
      </c>
      <c r="V13" s="3"/>
    </row>
    <row r="14" spans="1:22" ht="21.75" customHeight="1" x14ac:dyDescent="0.5">
      <c r="A14" s="22"/>
      <c r="B14" s="94"/>
      <c r="C14" s="184" t="s">
        <v>73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3"/>
    </row>
    <row r="15" spans="1:22" ht="21.75" customHeight="1" x14ac:dyDescent="0.5">
      <c r="A15" s="116" t="s">
        <v>184</v>
      </c>
      <c r="B15" s="9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21.75" customHeight="1" x14ac:dyDescent="0.5">
      <c r="A16" s="117" t="s">
        <v>75</v>
      </c>
      <c r="B16" s="17"/>
      <c r="C16" s="12">
        <v>5951449</v>
      </c>
      <c r="D16" s="12"/>
      <c r="E16" s="12">
        <v>1532321</v>
      </c>
      <c r="F16" s="12"/>
      <c r="G16" s="12">
        <v>-423185</v>
      </c>
      <c r="H16" s="12"/>
      <c r="I16" s="12">
        <v>-129337</v>
      </c>
      <c r="J16" s="12"/>
      <c r="K16" s="12">
        <v>495000</v>
      </c>
      <c r="L16" s="12"/>
      <c r="M16" s="12">
        <v>3798587</v>
      </c>
      <c r="N16" s="12"/>
      <c r="O16" s="12">
        <v>-24927</v>
      </c>
      <c r="P16" s="12"/>
      <c r="Q16" s="12">
        <f>SUM(C16:O16)</f>
        <v>11199908</v>
      </c>
      <c r="R16" s="12"/>
      <c r="S16" s="12">
        <v>699313</v>
      </c>
      <c r="T16" s="119"/>
      <c r="U16" s="12">
        <f>SUM(Q16:S16)</f>
        <v>11899221</v>
      </c>
      <c r="V16" s="25"/>
    </row>
    <row r="17" spans="1:22" ht="21.75" customHeight="1" x14ac:dyDescent="0.5">
      <c r="A17" s="4" t="s">
        <v>175</v>
      </c>
      <c r="B17" s="17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9"/>
      <c r="U17" s="12"/>
      <c r="V17" s="25"/>
    </row>
    <row r="18" spans="1:22" ht="21.75" customHeight="1" x14ac:dyDescent="0.5">
      <c r="A18" s="8" t="s">
        <v>176</v>
      </c>
      <c r="B18" s="9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20"/>
      <c r="U18" s="11"/>
      <c r="V18" s="25"/>
    </row>
    <row r="19" spans="1:22" ht="21.75" customHeight="1" x14ac:dyDescent="0.5">
      <c r="A19" s="1" t="s">
        <v>186</v>
      </c>
      <c r="B19" s="93">
        <v>16</v>
      </c>
      <c r="C19" s="82">
        <v>548381</v>
      </c>
      <c r="D19" s="82"/>
      <c r="E19" s="82">
        <v>0</v>
      </c>
      <c r="F19" s="82"/>
      <c r="G19" s="82">
        <v>0</v>
      </c>
      <c r="H19" s="82"/>
      <c r="I19" s="82">
        <v>0</v>
      </c>
      <c r="J19" s="82"/>
      <c r="K19" s="82">
        <v>0</v>
      </c>
      <c r="L19" s="82"/>
      <c r="M19" s="82">
        <v>0</v>
      </c>
      <c r="N19" s="82"/>
      <c r="O19" s="82">
        <v>0</v>
      </c>
      <c r="P19" s="82"/>
      <c r="Q19" s="82">
        <f>SUM(C19:O19)</f>
        <v>548381</v>
      </c>
      <c r="R19" s="82"/>
      <c r="S19" s="82">
        <v>0</v>
      </c>
      <c r="T19" s="120"/>
      <c r="U19" s="82">
        <f t="shared" ref="U19:U21" si="0">SUM(Q19:S19)</f>
        <v>548381</v>
      </c>
      <c r="V19" s="25"/>
    </row>
    <row r="20" spans="1:22" ht="21.75" customHeight="1" x14ac:dyDescent="0.5">
      <c r="A20" s="1" t="s">
        <v>177</v>
      </c>
      <c r="B20" s="93">
        <v>17</v>
      </c>
      <c r="C20" s="82">
        <v>0</v>
      </c>
      <c r="D20" s="82"/>
      <c r="E20" s="82">
        <v>0</v>
      </c>
      <c r="F20" s="82"/>
      <c r="G20" s="82">
        <v>0</v>
      </c>
      <c r="H20" s="82"/>
      <c r="I20" s="82">
        <v>0</v>
      </c>
      <c r="J20" s="82"/>
      <c r="K20" s="82">
        <v>0</v>
      </c>
      <c r="L20" s="82"/>
      <c r="M20" s="82">
        <v>-595140</v>
      </c>
      <c r="N20" s="82"/>
      <c r="O20" s="82">
        <v>0</v>
      </c>
      <c r="P20" s="82"/>
      <c r="Q20" s="82">
        <f>SUM(C20:O20)</f>
        <v>-595140</v>
      </c>
      <c r="R20" s="82"/>
      <c r="S20" s="82">
        <v>0</v>
      </c>
      <c r="T20" s="120"/>
      <c r="U20" s="82">
        <f t="shared" si="0"/>
        <v>-595140</v>
      </c>
      <c r="V20" s="25"/>
    </row>
    <row r="21" spans="1:22" ht="21.75" customHeight="1" x14ac:dyDescent="0.5">
      <c r="A21" s="8" t="s">
        <v>178</v>
      </c>
      <c r="B21" s="93"/>
      <c r="C21" s="121">
        <f>SUM(C19:C20)</f>
        <v>548381</v>
      </c>
      <c r="D21" s="122"/>
      <c r="E21" s="121">
        <f>SUM(E19:E20)</f>
        <v>0</v>
      </c>
      <c r="F21" s="122"/>
      <c r="G21" s="121">
        <f>SUM(G19:G20)</f>
        <v>0</v>
      </c>
      <c r="H21" s="122"/>
      <c r="I21" s="121">
        <f>SUM(I19:I20)</f>
        <v>0</v>
      </c>
      <c r="J21" s="122"/>
      <c r="K21" s="121">
        <f>SUM(K19:K20)</f>
        <v>0</v>
      </c>
      <c r="L21" s="122"/>
      <c r="M21" s="121">
        <f>SUM(M19:M20)</f>
        <v>-595140</v>
      </c>
      <c r="N21" s="122"/>
      <c r="O21" s="121">
        <f>SUM(O19:O20)</f>
        <v>0</v>
      </c>
      <c r="P21" s="122"/>
      <c r="Q21" s="121">
        <f>SUM(C21:O21)</f>
        <v>-46759</v>
      </c>
      <c r="R21" s="122"/>
      <c r="S21" s="121">
        <f>SUM(S19:S20)</f>
        <v>0</v>
      </c>
      <c r="T21" s="119"/>
      <c r="U21" s="121">
        <f t="shared" si="0"/>
        <v>-46759</v>
      </c>
      <c r="V21" s="25"/>
    </row>
    <row r="22" spans="1:22" ht="9.75" customHeight="1" x14ac:dyDescent="0.5">
      <c r="A22" s="8"/>
      <c r="B22" s="93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19"/>
      <c r="U22" s="122"/>
      <c r="V22" s="25"/>
    </row>
    <row r="23" spans="1:22" ht="21.75" customHeight="1" x14ac:dyDescent="0.5">
      <c r="A23" s="123" t="s">
        <v>179</v>
      </c>
      <c r="B23" s="93"/>
      <c r="C23" s="124">
        <f>C21</f>
        <v>548381</v>
      </c>
      <c r="D23" s="122"/>
      <c r="E23" s="124">
        <f>E21</f>
        <v>0</v>
      </c>
      <c r="F23" s="122"/>
      <c r="G23" s="124">
        <f>G21</f>
        <v>0</v>
      </c>
      <c r="H23" s="122"/>
      <c r="I23" s="124">
        <f>I21</f>
        <v>0</v>
      </c>
      <c r="J23" s="122"/>
      <c r="K23" s="124">
        <f>K21</f>
        <v>0</v>
      </c>
      <c r="L23" s="122"/>
      <c r="M23" s="124">
        <f>M21</f>
        <v>-595140</v>
      </c>
      <c r="N23" s="122"/>
      <c r="O23" s="124">
        <f>O21</f>
        <v>0</v>
      </c>
      <c r="P23" s="122"/>
      <c r="Q23" s="124">
        <f>Q21</f>
        <v>-46759</v>
      </c>
      <c r="R23" s="122"/>
      <c r="S23" s="124">
        <f>S21</f>
        <v>0</v>
      </c>
      <c r="T23" s="119"/>
      <c r="U23" s="124">
        <f>U21</f>
        <v>-46759</v>
      </c>
      <c r="V23" s="25"/>
    </row>
    <row r="24" spans="1:22" ht="10.5" customHeight="1" x14ac:dyDescent="0.5">
      <c r="A24" s="125"/>
      <c r="B24" s="93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20"/>
      <c r="U24" s="11"/>
      <c r="V24" s="25"/>
    </row>
    <row r="25" spans="1:22" ht="21.75" customHeight="1" x14ac:dyDescent="0.5">
      <c r="A25" s="126" t="s">
        <v>180</v>
      </c>
      <c r="B25" s="127"/>
      <c r="C25" s="46"/>
      <c r="D25" s="11"/>
      <c r="E25" s="46"/>
      <c r="F25" s="46"/>
      <c r="G25" s="46"/>
      <c r="H25" s="11"/>
      <c r="I25" s="11"/>
      <c r="J25" s="11"/>
      <c r="K25" s="46"/>
      <c r="L25" s="11"/>
      <c r="M25" s="46"/>
      <c r="N25" s="46"/>
      <c r="O25" s="11"/>
      <c r="P25" s="46"/>
      <c r="Q25" s="11"/>
      <c r="R25" s="11"/>
      <c r="S25" s="46"/>
      <c r="T25" s="46"/>
      <c r="U25" s="12"/>
      <c r="V25" s="3"/>
    </row>
    <row r="26" spans="1:22" ht="21.75" customHeight="1" x14ac:dyDescent="0.5">
      <c r="A26" s="22" t="s">
        <v>181</v>
      </c>
      <c r="B26" s="93"/>
      <c r="C26" s="128">
        <v>0</v>
      </c>
      <c r="D26" s="67"/>
      <c r="E26" s="128">
        <v>0</v>
      </c>
      <c r="F26" s="128"/>
      <c r="G26" s="128">
        <v>0</v>
      </c>
      <c r="H26" s="67"/>
      <c r="I26" s="67">
        <v>0</v>
      </c>
      <c r="J26" s="67"/>
      <c r="K26" s="128">
        <v>0</v>
      </c>
      <c r="L26" s="67"/>
      <c r="M26" s="26">
        <f>'PL9'!E104</f>
        <v>226913</v>
      </c>
      <c r="N26" s="67"/>
      <c r="O26" s="128">
        <v>0</v>
      </c>
      <c r="P26" s="67"/>
      <c r="Q26" s="11">
        <f t="shared" ref="Q26" si="1">SUM(C26:O26)</f>
        <v>226913</v>
      </c>
      <c r="R26" s="67"/>
      <c r="S26" s="120">
        <f>'PL9'!E105</f>
        <v>48893</v>
      </c>
      <c r="T26" s="120"/>
      <c r="U26" s="82">
        <f>SUM(Q26:S26)</f>
        <v>275806</v>
      </c>
      <c r="V26" s="3"/>
    </row>
    <row r="27" spans="1:22" ht="21.75" customHeight="1" x14ac:dyDescent="0.5">
      <c r="A27" s="126" t="s">
        <v>223</v>
      </c>
      <c r="B27" s="17"/>
      <c r="C27" s="129">
        <f>SUM(C26:C26)</f>
        <v>0</v>
      </c>
      <c r="D27" s="130"/>
      <c r="E27" s="129">
        <f>SUM(E26:E26)</f>
        <v>0</v>
      </c>
      <c r="F27" s="130"/>
      <c r="G27" s="129">
        <f>SUM(G26:G26)</f>
        <v>0</v>
      </c>
      <c r="H27" s="131"/>
      <c r="I27" s="129">
        <f>SUM(I26:I26)</f>
        <v>0</v>
      </c>
      <c r="J27" s="131"/>
      <c r="K27" s="129">
        <f>SUM(K26:K26)</f>
        <v>0</v>
      </c>
      <c r="L27" s="131"/>
      <c r="M27" s="129">
        <f>SUM(M26:M26)</f>
        <v>226913</v>
      </c>
      <c r="N27" s="131"/>
      <c r="O27" s="129">
        <f>SUM(O26:O26)</f>
        <v>0</v>
      </c>
      <c r="P27" s="131"/>
      <c r="Q27" s="129">
        <f>SUM(Q26:Q26)</f>
        <v>226913</v>
      </c>
      <c r="R27" s="122"/>
      <c r="S27" s="129">
        <f>SUM(S26:S26)</f>
        <v>48893</v>
      </c>
      <c r="T27" s="131"/>
      <c r="U27" s="129">
        <f>SUM(U26:U26)</f>
        <v>275806</v>
      </c>
      <c r="V27" s="3"/>
    </row>
    <row r="28" spans="1:22" ht="21.75" customHeight="1" thickBot="1" x14ac:dyDescent="0.55000000000000004">
      <c r="A28" s="126" t="s">
        <v>149</v>
      </c>
      <c r="B28" s="93"/>
      <c r="C28" s="14">
        <f>SUM(C16,C23,C27)</f>
        <v>6499830</v>
      </c>
      <c r="D28" s="15"/>
      <c r="E28" s="14">
        <f>SUM(E16,E23,E27)</f>
        <v>1532321</v>
      </c>
      <c r="F28" s="12"/>
      <c r="G28" s="14">
        <f>SUM(G16,G23,G27)</f>
        <v>-423185</v>
      </c>
      <c r="H28" s="15"/>
      <c r="I28" s="14">
        <f>SUM(I16,I23,I27)</f>
        <v>-129337</v>
      </c>
      <c r="J28" s="15"/>
      <c r="K28" s="14">
        <f>SUM(K16,K23,K27)</f>
        <v>495000</v>
      </c>
      <c r="L28" s="15"/>
      <c r="M28" s="14">
        <f>SUM(M16,M23,M27)</f>
        <v>3430360</v>
      </c>
      <c r="N28" s="15"/>
      <c r="O28" s="14">
        <f>SUM(O16,O23,O27)</f>
        <v>-24927</v>
      </c>
      <c r="P28" s="15"/>
      <c r="Q28" s="14">
        <f>SUM(Q16,Q23,Q27)</f>
        <v>11380062</v>
      </c>
      <c r="R28" s="12"/>
      <c r="S28" s="14">
        <f>SUM(S16,S23,S27)</f>
        <v>748206</v>
      </c>
      <c r="T28" s="15"/>
      <c r="U28" s="14">
        <f>SUM(U16,U23,U27)</f>
        <v>12128268</v>
      </c>
      <c r="V28" s="25"/>
    </row>
    <row r="29" spans="1:22" ht="23.25" customHeight="1" thickTop="1" x14ac:dyDescent="0.5">
      <c r="A29" s="3"/>
      <c r="B29" s="2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hidden="1" customHeight="1" x14ac:dyDescent="0.5">
      <c r="A30" s="3"/>
      <c r="B30" s="21"/>
      <c r="C30" s="12">
        <f>[1]FS!C77</f>
        <v>2232682</v>
      </c>
      <c r="D30" s="12"/>
      <c r="E30" s="12">
        <f>[1]FS!C78</f>
        <v>1828229</v>
      </c>
      <c r="F30" s="12"/>
      <c r="G30" s="12" t="str">
        <f>[1]FS!C79</f>
        <v>-</v>
      </c>
      <c r="H30" s="12"/>
      <c r="I30" s="12"/>
      <c r="J30" s="12"/>
      <c r="K30" s="12">
        <f>[1]FS!C82</f>
        <v>228530</v>
      </c>
      <c r="L30" s="12"/>
      <c r="M30" s="12">
        <f>[1]FS!C83</f>
        <v>32660144</v>
      </c>
      <c r="N30" s="12"/>
      <c r="O30" s="12"/>
      <c r="P30" s="12"/>
      <c r="Q30" s="12">
        <f>[1]FS!C85</f>
        <v>36896986</v>
      </c>
      <c r="R30" s="12"/>
      <c r="S30" s="12">
        <f>[1]FS!C86</f>
        <v>-9333</v>
      </c>
      <c r="T30" s="12"/>
      <c r="U30" s="12">
        <f>[1]FS!C87</f>
        <v>36887653</v>
      </c>
      <c r="V30" s="3"/>
    </row>
    <row r="31" spans="1:22" s="10" customFormat="1" ht="23.25" hidden="1" customHeight="1" x14ac:dyDescent="0.45">
      <c r="B31" s="132"/>
      <c r="C31" s="10">
        <f>C28-C30</f>
        <v>4267148</v>
      </c>
      <c r="E31" s="10">
        <f>E28-E30</f>
        <v>-295908</v>
      </c>
      <c r="G31" s="10" t="e">
        <f>G28-G30</f>
        <v>#VALUE!</v>
      </c>
      <c r="K31" s="10">
        <f>K28-K30</f>
        <v>266470</v>
      </c>
      <c r="M31" s="10">
        <f>M28-M30</f>
        <v>-29229784</v>
      </c>
      <c r="Q31" s="10">
        <f>Q28-Q30</f>
        <v>-25516924</v>
      </c>
      <c r="S31" s="10">
        <f>S28-S30</f>
        <v>757539</v>
      </c>
      <c r="U31" s="10">
        <f>U28-U30</f>
        <v>-24759385</v>
      </c>
    </row>
    <row r="32" spans="1:22" ht="23.25" customHeight="1" x14ac:dyDescent="0.5">
      <c r="A32" s="3"/>
      <c r="B32" s="2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</sheetData>
  <mergeCells count="3">
    <mergeCell ref="C4:U4"/>
    <mergeCell ref="K7:M7"/>
    <mergeCell ref="C14:U14"/>
  </mergeCells>
  <pageMargins left="0.4" right="0.4" top="0.48" bottom="0.5" header="0.5" footer="0.5"/>
  <pageSetup paperSize="9" scale="73" firstPageNumber="10" fitToHeight="0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85" max="16383" man="1"/>
    <brk id="86" max="16383" man="1"/>
    <brk id="87" max="16383" man="1"/>
    <brk id="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5C03F-5017-4B29-97D9-91E94E996AC0}">
  <sheetPr>
    <pageSetUpPr fitToPage="1"/>
  </sheetPr>
  <dimension ref="A1:V22"/>
  <sheetViews>
    <sheetView view="pageBreakPreview" topLeftCell="A10" zoomScale="70" zoomScaleNormal="80" zoomScaleSheetLayoutView="70" workbookViewId="0">
      <selection activeCell="E27" sqref="E27"/>
    </sheetView>
  </sheetViews>
  <sheetFormatPr defaultColWidth="9.28515625" defaultRowHeight="23.25" customHeight="1" x14ac:dyDescent="0.45"/>
  <cols>
    <col min="1" max="1" width="40.42578125" style="3" customWidth="1"/>
    <col min="2" max="2" width="4" style="21" customWidth="1"/>
    <col min="3" max="3" width="11.7109375" style="3" customWidth="1"/>
    <col min="4" max="4" width="1.5703125" style="3" customWidth="1"/>
    <col min="5" max="5" width="11.42578125" style="3" customWidth="1"/>
    <col min="6" max="6" width="1.5703125" style="3" customWidth="1"/>
    <col min="7" max="7" width="12.42578125" style="3" customWidth="1"/>
    <col min="8" max="8" width="1.42578125" style="3" customWidth="1"/>
    <col min="9" max="9" width="12.7109375" style="3" customWidth="1"/>
    <col min="10" max="10" width="1.42578125" style="3" customWidth="1"/>
    <col min="11" max="11" width="11.7109375" style="3" customWidth="1"/>
    <col min="12" max="12" width="1.42578125" style="3" customWidth="1"/>
    <col min="13" max="13" width="12" style="3" customWidth="1"/>
    <col min="14" max="14" width="1.42578125" style="3" customWidth="1"/>
    <col min="15" max="15" width="11.7109375" style="3" customWidth="1"/>
    <col min="16" max="16" width="1.42578125" style="3" customWidth="1"/>
    <col min="17" max="17" width="13.28515625" style="3" customWidth="1"/>
    <col min="18" max="18" width="1.42578125" style="3" customWidth="1"/>
    <col min="19" max="19" width="12.5703125" style="3" customWidth="1"/>
    <col min="20" max="20" width="1.42578125" style="3" customWidth="1"/>
    <col min="21" max="21" width="14.7109375" style="3" bestFit="1" customWidth="1"/>
    <col min="22" max="22" width="11" style="3" bestFit="1" customWidth="1"/>
    <col min="23" max="23" width="10" style="3" bestFit="1" customWidth="1"/>
    <col min="24" max="16384" width="9.28515625" style="3"/>
  </cols>
  <sheetData>
    <row r="1" spans="1:22" ht="25.5" customHeight="1" x14ac:dyDescent="0.5">
      <c r="A1" s="18" t="s">
        <v>82</v>
      </c>
      <c r="B1" s="93"/>
      <c r="G1" s="6"/>
      <c r="H1" s="16" t="s">
        <v>40</v>
      </c>
      <c r="I1" s="16"/>
      <c r="J1" s="16"/>
      <c r="K1" s="16"/>
      <c r="L1" s="16"/>
    </row>
    <row r="2" spans="1:22" s="16" customFormat="1" ht="25.5" customHeight="1" x14ac:dyDescent="0.5">
      <c r="A2" s="18" t="s">
        <v>74</v>
      </c>
      <c r="B2" s="9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6" t="s">
        <v>18</v>
      </c>
    </row>
    <row r="3" spans="1:22" ht="21.75" customHeight="1" x14ac:dyDescent="0.5">
      <c r="A3" s="37"/>
      <c r="B3" s="60"/>
      <c r="C3" s="37"/>
      <c r="D3" s="37"/>
      <c r="E3" s="37"/>
    </row>
    <row r="4" spans="1:22" ht="21.75" customHeight="1" x14ac:dyDescent="0.45">
      <c r="A4" s="61"/>
      <c r="B4" s="93"/>
      <c r="C4" s="182" t="s">
        <v>32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</row>
    <row r="5" spans="1:22" ht="21.75" customHeight="1" x14ac:dyDescent="0.45">
      <c r="A5" s="61"/>
      <c r="B5" s="93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6" t="s">
        <v>78</v>
      </c>
      <c r="P5" s="95"/>
      <c r="Q5" s="95"/>
      <c r="R5" s="95"/>
      <c r="S5" s="95"/>
      <c r="T5" s="95"/>
      <c r="U5" s="95"/>
    </row>
    <row r="6" spans="1:22" ht="21.75" customHeight="1" x14ac:dyDescent="0.45">
      <c r="A6" s="61"/>
      <c r="B6" s="93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6" t="s">
        <v>79</v>
      </c>
      <c r="P6" s="95"/>
      <c r="Q6" s="95"/>
      <c r="R6" s="95"/>
      <c r="S6" s="95"/>
      <c r="T6" s="95"/>
      <c r="U6" s="95"/>
    </row>
    <row r="7" spans="1:22" ht="21.75" x14ac:dyDescent="0.45">
      <c r="A7" s="61"/>
      <c r="B7" s="62"/>
      <c r="C7" s="95"/>
      <c r="D7" s="95"/>
      <c r="E7" s="95"/>
      <c r="F7" s="95"/>
      <c r="G7" s="95"/>
      <c r="H7" s="95"/>
      <c r="I7" s="95"/>
      <c r="J7" s="95"/>
      <c r="K7" s="183" t="s">
        <v>15</v>
      </c>
      <c r="L7" s="183"/>
      <c r="M7" s="183"/>
      <c r="N7" s="95"/>
      <c r="O7" s="114" t="s">
        <v>80</v>
      </c>
      <c r="P7" s="95"/>
      <c r="Q7" s="23"/>
      <c r="R7" s="92"/>
      <c r="S7" s="22"/>
      <c r="U7" s="91"/>
    </row>
    <row r="8" spans="1:22" ht="21.75" customHeight="1" x14ac:dyDescent="0.45">
      <c r="A8" s="61"/>
      <c r="B8" s="62"/>
      <c r="C8" s="95"/>
      <c r="D8" s="95"/>
      <c r="E8" s="95"/>
      <c r="F8" s="95"/>
      <c r="G8" s="78" t="s">
        <v>85</v>
      </c>
      <c r="H8" s="95"/>
      <c r="I8" s="95"/>
      <c r="J8" s="95"/>
      <c r="K8" s="23"/>
      <c r="L8" s="23"/>
      <c r="M8" s="23"/>
      <c r="N8" s="95"/>
      <c r="O8" s="96"/>
      <c r="P8" s="95"/>
      <c r="Q8" s="63"/>
      <c r="R8" s="63"/>
      <c r="S8" s="63"/>
      <c r="T8" s="63"/>
      <c r="U8" s="63"/>
    </row>
    <row r="9" spans="1:22" ht="21.75" customHeight="1" x14ac:dyDescent="0.45">
      <c r="A9" s="61"/>
      <c r="B9" s="62"/>
      <c r="C9" s="95"/>
      <c r="D9" s="95"/>
      <c r="E9" s="95"/>
      <c r="F9" s="95"/>
      <c r="G9" s="78" t="s">
        <v>86</v>
      </c>
      <c r="H9" s="95"/>
      <c r="I9" s="95"/>
      <c r="J9" s="95"/>
      <c r="K9" s="23"/>
      <c r="L9" s="23"/>
      <c r="M9" s="23"/>
      <c r="N9" s="95"/>
      <c r="O9" s="96" t="s">
        <v>85</v>
      </c>
      <c r="P9" s="95"/>
      <c r="Q9" s="63"/>
      <c r="R9" s="63"/>
      <c r="S9" s="63"/>
      <c r="T9" s="63"/>
      <c r="U9" s="63"/>
    </row>
    <row r="10" spans="1:22" ht="21.75" customHeight="1" x14ac:dyDescent="0.45">
      <c r="A10" s="61"/>
      <c r="B10" s="62"/>
      <c r="C10" s="95"/>
      <c r="D10" s="95"/>
      <c r="E10" s="95"/>
      <c r="F10" s="95"/>
      <c r="G10" s="78" t="s">
        <v>87</v>
      </c>
      <c r="H10" s="95"/>
      <c r="I10" s="78" t="s">
        <v>91</v>
      </c>
      <c r="J10" s="95"/>
      <c r="K10" s="23"/>
      <c r="L10" s="23"/>
      <c r="M10" s="23"/>
      <c r="N10" s="95"/>
      <c r="O10" s="96" t="s">
        <v>92</v>
      </c>
      <c r="P10" s="95"/>
      <c r="Q10" s="63"/>
      <c r="R10" s="63"/>
      <c r="S10" s="63" t="s">
        <v>39</v>
      </c>
      <c r="T10" s="63"/>
      <c r="U10" s="63"/>
    </row>
    <row r="11" spans="1:22" ht="21.75" customHeight="1" x14ac:dyDescent="0.45">
      <c r="A11" s="61"/>
      <c r="B11" s="94"/>
      <c r="C11" s="92" t="s">
        <v>0</v>
      </c>
      <c r="E11" s="92"/>
      <c r="F11" s="92"/>
      <c r="G11" s="92" t="s">
        <v>88</v>
      </c>
      <c r="H11" s="96"/>
      <c r="I11" s="78" t="s">
        <v>92</v>
      </c>
      <c r="J11" s="96"/>
      <c r="K11" s="22"/>
      <c r="L11" s="22"/>
      <c r="M11" s="22"/>
      <c r="N11" s="64"/>
      <c r="O11" s="63" t="s">
        <v>95</v>
      </c>
      <c r="P11" s="64"/>
      <c r="Q11" s="92" t="s">
        <v>170</v>
      </c>
      <c r="R11" s="63"/>
      <c r="S11" s="63" t="s">
        <v>171</v>
      </c>
      <c r="T11" s="63"/>
      <c r="U11" s="63"/>
    </row>
    <row r="12" spans="1:22" ht="21.75" customHeight="1" x14ac:dyDescent="0.45">
      <c r="A12" s="61"/>
      <c r="B12" s="94"/>
      <c r="C12" s="92" t="s">
        <v>59</v>
      </c>
      <c r="E12" s="92" t="s">
        <v>38</v>
      </c>
      <c r="F12" s="92"/>
      <c r="G12" s="92" t="s">
        <v>89</v>
      </c>
      <c r="H12" s="96"/>
      <c r="I12" s="78" t="s">
        <v>93</v>
      </c>
      <c r="J12" s="96"/>
      <c r="K12" s="92" t="s">
        <v>60</v>
      </c>
      <c r="L12" s="92"/>
      <c r="M12" s="92" t="s">
        <v>61</v>
      </c>
      <c r="N12" s="96"/>
      <c r="O12" s="115" t="s">
        <v>96</v>
      </c>
      <c r="P12" s="96"/>
      <c r="Q12" s="63" t="s">
        <v>172</v>
      </c>
      <c r="R12" s="92"/>
      <c r="S12" s="92" t="s">
        <v>173</v>
      </c>
      <c r="T12" s="92"/>
      <c r="U12" s="92" t="s">
        <v>170</v>
      </c>
    </row>
    <row r="13" spans="1:22" ht="21.75" customHeight="1" x14ac:dyDescent="0.45">
      <c r="A13" s="61"/>
      <c r="B13" s="65"/>
      <c r="C13" s="92" t="s">
        <v>35</v>
      </c>
      <c r="E13" s="92" t="s">
        <v>37</v>
      </c>
      <c r="F13" s="92"/>
      <c r="G13" s="92" t="s">
        <v>90</v>
      </c>
      <c r="H13" s="96"/>
      <c r="I13" s="78" t="s">
        <v>94</v>
      </c>
      <c r="J13" s="96"/>
      <c r="K13" s="92" t="s">
        <v>36</v>
      </c>
      <c r="L13" s="92"/>
      <c r="M13" s="92" t="s">
        <v>62</v>
      </c>
      <c r="N13" s="96"/>
      <c r="O13" s="63" t="s">
        <v>97</v>
      </c>
      <c r="P13" s="96"/>
      <c r="Q13" s="63" t="s">
        <v>174</v>
      </c>
      <c r="R13" s="63"/>
      <c r="S13" s="63" t="s">
        <v>63</v>
      </c>
      <c r="T13" s="63"/>
      <c r="U13" s="63" t="s">
        <v>172</v>
      </c>
    </row>
    <row r="14" spans="1:22" ht="21.75" customHeight="1" x14ac:dyDescent="0.45">
      <c r="A14" s="22"/>
      <c r="B14" s="94"/>
      <c r="C14" s="184" t="s">
        <v>73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</row>
    <row r="15" spans="1:22" ht="21.75" customHeight="1" x14ac:dyDescent="0.45">
      <c r="A15" s="116" t="s">
        <v>185</v>
      </c>
      <c r="B15" s="94"/>
    </row>
    <row r="16" spans="1:22" ht="21.75" customHeight="1" x14ac:dyDescent="0.45">
      <c r="A16" s="117" t="s">
        <v>84</v>
      </c>
      <c r="B16" s="17"/>
      <c r="C16" s="12">
        <v>6499830</v>
      </c>
      <c r="D16" s="12"/>
      <c r="E16" s="12">
        <v>1532321</v>
      </c>
      <c r="F16" s="12"/>
      <c r="G16" s="12">
        <v>-423185</v>
      </c>
      <c r="H16" s="12"/>
      <c r="I16" s="12">
        <v>-129337</v>
      </c>
      <c r="J16" s="12"/>
      <c r="K16" s="12">
        <v>503800</v>
      </c>
      <c r="L16" s="12"/>
      <c r="M16" s="12">
        <v>3627201</v>
      </c>
      <c r="N16" s="12"/>
      <c r="O16" s="12">
        <v>-24927</v>
      </c>
      <c r="P16" s="12"/>
      <c r="Q16" s="12">
        <f>SUM(C16:P16)</f>
        <v>11585703</v>
      </c>
      <c r="R16" s="12"/>
      <c r="S16" s="12">
        <v>774099</v>
      </c>
      <c r="T16" s="119"/>
      <c r="U16" s="12">
        <f>SUM(Q16:S16)</f>
        <v>12359802</v>
      </c>
      <c r="V16" s="25"/>
    </row>
    <row r="17" spans="1:22" ht="21.75" customHeight="1" x14ac:dyDescent="0.45">
      <c r="A17" s="126" t="s">
        <v>180</v>
      </c>
      <c r="B17" s="127"/>
      <c r="C17" s="46"/>
      <c r="D17" s="11"/>
      <c r="E17" s="46"/>
      <c r="F17" s="46"/>
      <c r="G17" s="46"/>
      <c r="H17" s="11"/>
      <c r="I17" s="11"/>
      <c r="J17" s="11"/>
      <c r="K17" s="46"/>
      <c r="L17" s="11"/>
      <c r="M17" s="46"/>
      <c r="N17" s="46"/>
      <c r="O17" s="11"/>
      <c r="P17" s="46"/>
      <c r="Q17" s="11"/>
      <c r="R17" s="11"/>
      <c r="S17" s="46"/>
      <c r="T17" s="46"/>
      <c r="U17" s="12"/>
    </row>
    <row r="18" spans="1:22" ht="21.75" customHeight="1" x14ac:dyDescent="0.45">
      <c r="A18" s="22" t="s">
        <v>182</v>
      </c>
      <c r="B18" s="93"/>
      <c r="C18" s="128">
        <v>0</v>
      </c>
      <c r="D18" s="67"/>
      <c r="E18" s="128">
        <v>0</v>
      </c>
      <c r="F18" s="128"/>
      <c r="G18" s="128">
        <v>0</v>
      </c>
      <c r="H18" s="67"/>
      <c r="I18" s="79">
        <v>0</v>
      </c>
      <c r="J18" s="67"/>
      <c r="K18" s="128">
        <v>0</v>
      </c>
      <c r="L18" s="67"/>
      <c r="M18" s="82">
        <f>'PL9'!C104</f>
        <v>366835</v>
      </c>
      <c r="N18" s="67"/>
      <c r="O18" s="128">
        <v>0</v>
      </c>
      <c r="P18" s="67"/>
      <c r="Q18" s="82">
        <f>M18</f>
        <v>366835</v>
      </c>
      <c r="R18" s="67"/>
      <c r="S18" s="82">
        <f>'PL9'!C105</f>
        <v>41738</v>
      </c>
      <c r="T18" s="120"/>
      <c r="U18" s="82">
        <f>SUM(Q18:S18)</f>
        <v>408573</v>
      </c>
    </row>
    <row r="19" spans="1:22" ht="21.75" customHeight="1" x14ac:dyDescent="0.45">
      <c r="A19" s="126" t="s">
        <v>223</v>
      </c>
      <c r="B19" s="17"/>
      <c r="C19" s="133">
        <f>C18</f>
        <v>0</v>
      </c>
      <c r="D19" s="134"/>
      <c r="E19" s="133">
        <f>E18</f>
        <v>0</v>
      </c>
      <c r="F19" s="134"/>
      <c r="G19" s="133">
        <f>G18</f>
        <v>0</v>
      </c>
      <c r="H19" s="15"/>
      <c r="I19" s="135">
        <f>I18</f>
        <v>0</v>
      </c>
      <c r="J19" s="15"/>
      <c r="K19" s="133">
        <f>K18</f>
        <v>0</v>
      </c>
      <c r="L19" s="15"/>
      <c r="M19" s="129">
        <f>SUM(M18:M18)</f>
        <v>366835</v>
      </c>
      <c r="N19" s="15"/>
      <c r="O19" s="129">
        <f>SUM(O18:O18)</f>
        <v>0</v>
      </c>
      <c r="P19" s="15"/>
      <c r="Q19" s="129">
        <f>SUM(Q18:Q18)</f>
        <v>366835</v>
      </c>
      <c r="R19" s="12"/>
      <c r="S19" s="129">
        <f>SUM(S18:S18)</f>
        <v>41738</v>
      </c>
      <c r="T19" s="15"/>
      <c r="U19" s="129">
        <f>SUM(U18:U18)</f>
        <v>408573</v>
      </c>
    </row>
    <row r="20" spans="1:22" ht="21.75" customHeight="1" thickBot="1" x14ac:dyDescent="0.5">
      <c r="A20" s="126" t="s">
        <v>150</v>
      </c>
      <c r="B20" s="93"/>
      <c r="C20" s="14">
        <f>SUM(C16,C19)</f>
        <v>6499830</v>
      </c>
      <c r="D20" s="15"/>
      <c r="E20" s="14">
        <f>SUM(E16,E19)</f>
        <v>1532321</v>
      </c>
      <c r="F20" s="12"/>
      <c r="G20" s="14">
        <f>SUM(G16,G19)</f>
        <v>-423185</v>
      </c>
      <c r="H20" s="15"/>
      <c r="I20" s="14">
        <f>SUM(I16,I19)</f>
        <v>-129337</v>
      </c>
      <c r="J20" s="15"/>
      <c r="K20" s="14">
        <f>SUM(K16,K19)</f>
        <v>503800</v>
      </c>
      <c r="L20" s="15"/>
      <c r="M20" s="14">
        <f>SUM(M16,M19)</f>
        <v>3994036</v>
      </c>
      <c r="N20" s="15"/>
      <c r="O20" s="14">
        <f>SUM(O16,O19)</f>
        <v>-24927</v>
      </c>
      <c r="P20" s="15"/>
      <c r="Q20" s="14">
        <f>SUM(Q16,Q19)</f>
        <v>11952538</v>
      </c>
      <c r="R20" s="12"/>
      <c r="S20" s="14">
        <f>SUM(S16,S19)</f>
        <v>815837</v>
      </c>
      <c r="T20" s="15"/>
      <c r="U20" s="14">
        <f>SUM(U16,U19)</f>
        <v>12768375</v>
      </c>
      <c r="V20" s="25"/>
    </row>
    <row r="21" spans="1:22" ht="23.25" customHeight="1" thickTop="1" x14ac:dyDescent="0.45"/>
    <row r="22" spans="1:22" ht="23.25" customHeight="1" x14ac:dyDescent="0.45">
      <c r="U22" s="25">
        <f>U20-'BS3'!C95</f>
        <v>0</v>
      </c>
    </row>
  </sheetData>
  <mergeCells count="3">
    <mergeCell ref="C4:U4"/>
    <mergeCell ref="K7:M7"/>
    <mergeCell ref="C14:U14"/>
  </mergeCells>
  <pageMargins left="0.4" right="0.4" top="0.48" bottom="0.5" header="0.5" footer="0.5"/>
  <pageSetup paperSize="9" scale="81" firstPageNumber="11" fitToHeight="0" orientation="landscape" useFirstPageNumber="1" r:id="rId1"/>
  <headerFooter>
    <oddFooter xml:space="preserve">&amp;L  หมายเหตุประกอบงบการเงินเป็นส่วนหนึ่งของงบการเงินระหว่างกาลนี้
&amp;C&amp;P&amp;R&amp;"Angsana New,Italic"&amp;15
</oddFooter>
  </headerFooter>
  <rowBreaks count="4" manualBreakCount="4">
    <brk id="75" max="16383" man="1"/>
    <brk id="76" max="16383" man="1"/>
    <brk id="77" max="16383" man="1"/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F902C-47EB-4B29-9C7C-46E12093A002}">
  <dimension ref="A1:N29"/>
  <sheetViews>
    <sheetView view="pageBreakPreview" topLeftCell="A13" zoomScale="85" zoomScaleNormal="90" zoomScaleSheetLayoutView="85" workbookViewId="0">
      <selection activeCell="B23" sqref="B23"/>
    </sheetView>
  </sheetViews>
  <sheetFormatPr defaultColWidth="9.28515625" defaultRowHeight="23.25" customHeight="1" x14ac:dyDescent="0.5"/>
  <cols>
    <col min="1" max="1" width="64.140625" customWidth="1"/>
    <col min="2" max="2" width="10.7109375" customWidth="1"/>
    <col min="3" max="3" width="1.42578125" customWidth="1"/>
    <col min="4" max="4" width="13.7109375" customWidth="1"/>
    <col min="5" max="5" width="1.42578125" customWidth="1"/>
    <col min="6" max="6" width="14" customWidth="1"/>
    <col min="7" max="7" width="1.42578125" customWidth="1"/>
    <col min="8" max="8" width="14.5703125" customWidth="1"/>
    <col min="9" max="9" width="1.42578125" customWidth="1"/>
    <col min="10" max="10" width="14.5703125" customWidth="1"/>
    <col min="11" max="11" width="1.42578125" customWidth="1"/>
    <col min="12" max="12" width="13.5703125" customWidth="1"/>
    <col min="13" max="13" width="11.7109375" customWidth="1"/>
  </cols>
  <sheetData>
    <row r="1" spans="1:12" ht="23.25" customHeight="1" x14ac:dyDescent="0.5">
      <c r="A1" s="18" t="s">
        <v>82</v>
      </c>
      <c r="B1" s="21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3.25" customHeight="1" x14ac:dyDescent="0.5">
      <c r="A2" s="18" t="s">
        <v>74</v>
      </c>
      <c r="B2" s="21"/>
      <c r="C2" s="3"/>
      <c r="D2" s="3"/>
      <c r="E2" s="3"/>
      <c r="F2" s="3"/>
      <c r="G2" s="3"/>
      <c r="H2" s="3"/>
      <c r="I2" s="3"/>
      <c r="J2" s="3"/>
      <c r="K2" s="3"/>
      <c r="L2" s="16"/>
    </row>
    <row r="3" spans="1:12" ht="23.25" customHeight="1" x14ac:dyDescent="0.5">
      <c r="A3" s="4"/>
      <c r="B3" s="4"/>
      <c r="C3" s="4"/>
      <c r="D3" s="4"/>
      <c r="E3" s="4"/>
      <c r="F3" s="4"/>
      <c r="G3" s="3"/>
      <c r="H3" s="3"/>
      <c r="I3" s="3"/>
      <c r="J3" s="3"/>
      <c r="K3" s="3"/>
      <c r="L3" s="3"/>
    </row>
    <row r="4" spans="1:12" ht="23.25" customHeight="1" x14ac:dyDescent="0.5">
      <c r="A4" s="61"/>
      <c r="B4" s="94"/>
      <c r="C4" s="94"/>
      <c r="D4" s="179" t="s">
        <v>46</v>
      </c>
      <c r="E4" s="179"/>
      <c r="F4" s="179"/>
      <c r="G4" s="179"/>
      <c r="H4" s="179"/>
      <c r="I4" s="179"/>
      <c r="J4" s="179"/>
      <c r="K4" s="179"/>
      <c r="L4" s="179"/>
    </row>
    <row r="5" spans="1:12" ht="23.25" customHeight="1" x14ac:dyDescent="0.5">
      <c r="A5" s="61"/>
      <c r="B5" s="94"/>
      <c r="C5" s="91"/>
      <c r="D5" s="91"/>
      <c r="E5" s="91"/>
      <c r="F5" s="91"/>
      <c r="G5" s="91"/>
      <c r="H5" s="91"/>
      <c r="I5" s="91"/>
      <c r="J5" s="91"/>
      <c r="K5" s="91"/>
      <c r="L5" s="91"/>
    </row>
    <row r="6" spans="1:12" ht="23.25" customHeight="1" x14ac:dyDescent="0.5">
      <c r="A6" s="61"/>
      <c r="B6" s="94"/>
      <c r="C6" s="3"/>
      <c r="D6" s="22"/>
      <c r="E6" s="3"/>
      <c r="F6" s="92"/>
      <c r="G6" s="96"/>
      <c r="H6" s="183" t="s">
        <v>15</v>
      </c>
      <c r="I6" s="183"/>
      <c r="J6" s="183"/>
      <c r="K6" s="92"/>
      <c r="L6" s="3"/>
    </row>
    <row r="7" spans="1:12" ht="23.25" customHeight="1" x14ac:dyDescent="0.5">
      <c r="A7" s="61"/>
      <c r="B7" s="94"/>
      <c r="C7" s="3"/>
      <c r="D7" s="92" t="s">
        <v>0</v>
      </c>
      <c r="E7" s="3"/>
      <c r="F7" s="92"/>
      <c r="G7" s="96"/>
      <c r="H7" s="22"/>
      <c r="I7" s="22"/>
      <c r="J7" s="22"/>
      <c r="K7" s="92"/>
      <c r="L7" s="22"/>
    </row>
    <row r="8" spans="1:12" ht="23.25" customHeight="1" x14ac:dyDescent="0.5">
      <c r="A8" s="61"/>
      <c r="B8" s="65"/>
      <c r="C8" s="3"/>
      <c r="D8" s="92" t="s">
        <v>59</v>
      </c>
      <c r="E8" s="3"/>
      <c r="F8" s="92" t="s">
        <v>38</v>
      </c>
      <c r="G8" s="96"/>
      <c r="H8" s="92" t="s">
        <v>60</v>
      </c>
      <c r="I8" s="92"/>
      <c r="J8" s="92" t="s">
        <v>61</v>
      </c>
      <c r="K8" s="92"/>
      <c r="L8" s="92" t="s">
        <v>170</v>
      </c>
    </row>
    <row r="9" spans="1:12" ht="23.25" customHeight="1" x14ac:dyDescent="0.5">
      <c r="A9" s="61"/>
      <c r="B9" s="65" t="s">
        <v>1</v>
      </c>
      <c r="C9" s="3"/>
      <c r="D9" s="92" t="s">
        <v>35</v>
      </c>
      <c r="E9" s="3"/>
      <c r="F9" s="92" t="s">
        <v>37</v>
      </c>
      <c r="G9" s="96"/>
      <c r="H9" s="92" t="s">
        <v>36</v>
      </c>
      <c r="I9" s="92"/>
      <c r="J9" s="92" t="s">
        <v>62</v>
      </c>
      <c r="K9" s="92"/>
      <c r="L9" s="92" t="s">
        <v>172</v>
      </c>
    </row>
    <row r="10" spans="1:12" ht="23.25" customHeight="1" x14ac:dyDescent="0.5">
      <c r="A10" s="22"/>
      <c r="B10" s="94"/>
      <c r="C10" s="94"/>
      <c r="D10" s="184" t="s">
        <v>73</v>
      </c>
      <c r="E10" s="184"/>
      <c r="F10" s="184"/>
      <c r="G10" s="184"/>
      <c r="H10" s="184"/>
      <c r="I10" s="184"/>
      <c r="J10" s="184"/>
      <c r="K10" s="184"/>
      <c r="L10" s="184"/>
    </row>
    <row r="11" spans="1:12" ht="23.25" customHeight="1" x14ac:dyDescent="0.5">
      <c r="A11" s="116" t="s">
        <v>184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2" spans="1:12" ht="23.25" customHeight="1" x14ac:dyDescent="0.5">
      <c r="A12" s="126" t="s">
        <v>75</v>
      </c>
      <c r="B12" s="136"/>
      <c r="C12" s="12"/>
      <c r="D12" s="12">
        <v>5951449</v>
      </c>
      <c r="E12" s="12"/>
      <c r="F12" s="12">
        <v>1532321</v>
      </c>
      <c r="G12" s="12"/>
      <c r="H12" s="12">
        <v>358100</v>
      </c>
      <c r="I12" s="12"/>
      <c r="J12" s="12">
        <v>3316964</v>
      </c>
      <c r="K12" s="12"/>
      <c r="L12" s="12">
        <f>SUM(D12:J12)</f>
        <v>11158834</v>
      </c>
    </row>
    <row r="13" spans="1:12" ht="23.25" customHeight="1" x14ac:dyDescent="0.5">
      <c r="A13" s="137" t="s">
        <v>175</v>
      </c>
      <c r="B13" s="136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23.25" customHeight="1" x14ac:dyDescent="0.5">
      <c r="A14" s="138" t="s">
        <v>176</v>
      </c>
      <c r="B14" s="136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23.25" customHeight="1" x14ac:dyDescent="0.5">
      <c r="A15" s="1" t="s">
        <v>186</v>
      </c>
      <c r="B15" s="93">
        <v>16</v>
      </c>
      <c r="C15" s="12"/>
      <c r="D15" s="82">
        <v>548381</v>
      </c>
      <c r="E15" s="82"/>
      <c r="F15" s="82">
        <v>0</v>
      </c>
      <c r="G15" s="82"/>
      <c r="H15" s="82">
        <v>0</v>
      </c>
      <c r="I15" s="82"/>
      <c r="J15" s="82">
        <v>0</v>
      </c>
      <c r="K15" s="82"/>
      <c r="L15" s="82">
        <f>SUM(D15:J15)</f>
        <v>548381</v>
      </c>
    </row>
    <row r="16" spans="1:12" ht="23.25" customHeight="1" x14ac:dyDescent="0.5">
      <c r="A16" s="1" t="s">
        <v>177</v>
      </c>
      <c r="B16" s="93">
        <v>17</v>
      </c>
      <c r="C16" s="12"/>
      <c r="D16" s="82">
        <v>0</v>
      </c>
      <c r="E16" s="82"/>
      <c r="F16" s="82">
        <v>0</v>
      </c>
      <c r="G16" s="82"/>
      <c r="H16" s="82">
        <v>0</v>
      </c>
      <c r="I16" s="82"/>
      <c r="J16" s="82">
        <v>-595140</v>
      </c>
      <c r="K16" s="82"/>
      <c r="L16" s="82">
        <f>SUM(D16:J16)</f>
        <v>-595140</v>
      </c>
    </row>
    <row r="17" spans="1:14" ht="23.25" customHeight="1" x14ac:dyDescent="0.5">
      <c r="A17" s="8" t="s">
        <v>178</v>
      </c>
      <c r="B17" s="93"/>
      <c r="C17" s="12"/>
      <c r="D17" s="121">
        <f>SUM(D15:D16)</f>
        <v>548381</v>
      </c>
      <c r="E17" s="122"/>
      <c r="F17" s="121">
        <f>SUM(F15:F16)</f>
        <v>0</v>
      </c>
      <c r="G17" s="122"/>
      <c r="H17" s="121">
        <f>SUM(H15:H16)</f>
        <v>0</v>
      </c>
      <c r="I17" s="122"/>
      <c r="J17" s="121">
        <f>SUM(J15:J16)</f>
        <v>-595140</v>
      </c>
      <c r="K17" s="122"/>
      <c r="L17" s="121">
        <f>SUM(L15:L16)</f>
        <v>-46759</v>
      </c>
      <c r="M17" s="3"/>
      <c r="N17" s="3"/>
    </row>
    <row r="18" spans="1:14" ht="13.5" customHeight="1" x14ac:dyDescent="0.5">
      <c r="A18" s="8"/>
      <c r="B18" s="93"/>
      <c r="C18" s="12"/>
      <c r="D18" s="122"/>
      <c r="E18" s="122"/>
      <c r="F18" s="122"/>
      <c r="G18" s="122"/>
      <c r="H18" s="122"/>
      <c r="I18" s="122"/>
      <c r="J18" s="122"/>
      <c r="K18" s="122"/>
      <c r="L18" s="122"/>
      <c r="M18" s="3"/>
      <c r="N18" s="3"/>
    </row>
    <row r="19" spans="1:14" ht="23.25" customHeight="1" x14ac:dyDescent="0.5">
      <c r="A19" s="123" t="s">
        <v>179</v>
      </c>
      <c r="B19" s="136"/>
      <c r="C19" s="12"/>
      <c r="D19" s="124">
        <f>D17</f>
        <v>548381</v>
      </c>
      <c r="E19" s="122"/>
      <c r="F19" s="124">
        <f>F17</f>
        <v>0</v>
      </c>
      <c r="G19" s="122"/>
      <c r="H19" s="124">
        <f>H17</f>
        <v>0</v>
      </c>
      <c r="I19" s="122"/>
      <c r="J19" s="124">
        <f>J17</f>
        <v>-595140</v>
      </c>
      <c r="K19" s="122"/>
      <c r="L19" s="124">
        <f>L17</f>
        <v>-46759</v>
      </c>
      <c r="M19" s="3"/>
      <c r="N19" s="3"/>
    </row>
    <row r="20" spans="1:14" ht="9.75" customHeight="1" x14ac:dyDescent="0.5">
      <c r="A20" s="126"/>
      <c r="B20" s="136"/>
      <c r="C20" s="12"/>
      <c r="D20" s="122"/>
      <c r="E20" s="122"/>
      <c r="F20" s="122"/>
      <c r="G20" s="122"/>
      <c r="H20" s="122"/>
      <c r="I20" s="122"/>
      <c r="J20" s="122"/>
      <c r="K20" s="122"/>
      <c r="L20" s="122"/>
      <c r="M20" s="3"/>
      <c r="N20" s="3"/>
    </row>
    <row r="21" spans="1:14" ht="23.25" customHeight="1" x14ac:dyDescent="0.5">
      <c r="A21" s="126" t="s">
        <v>180</v>
      </c>
      <c r="B21" s="21"/>
      <c r="C21" s="12"/>
      <c r="D21" s="122"/>
      <c r="E21" s="122"/>
      <c r="F21" s="122"/>
      <c r="G21" s="122"/>
      <c r="H21" s="122"/>
      <c r="I21" s="122"/>
      <c r="J21" s="122"/>
      <c r="K21" s="122"/>
      <c r="L21" s="122"/>
      <c r="M21" s="3"/>
      <c r="N21" s="3"/>
    </row>
    <row r="22" spans="1:14" ht="23.25" customHeight="1" x14ac:dyDescent="0.5">
      <c r="A22" s="22" t="s">
        <v>183</v>
      </c>
      <c r="B22" s="21"/>
      <c r="C22" s="139"/>
      <c r="D22" s="69">
        <v>0</v>
      </c>
      <c r="E22" s="140"/>
      <c r="F22" s="69">
        <v>0</v>
      </c>
      <c r="G22" s="122"/>
      <c r="H22" s="69">
        <v>0</v>
      </c>
      <c r="I22" s="122"/>
      <c r="J22" s="141">
        <f>'PL9'!I104</f>
        <v>-29266</v>
      </c>
      <c r="K22" s="140"/>
      <c r="L22" s="82">
        <f t="shared" ref="L22" si="0">SUM(D22:J22)</f>
        <v>-29266</v>
      </c>
      <c r="M22" s="3"/>
      <c r="N22" s="3"/>
    </row>
    <row r="23" spans="1:14" ht="23.25" customHeight="1" x14ac:dyDescent="0.5">
      <c r="A23" s="126" t="s">
        <v>223</v>
      </c>
      <c r="B23" s="21"/>
      <c r="C23" s="130"/>
      <c r="D23" s="129">
        <f>D22</f>
        <v>0</v>
      </c>
      <c r="E23" s="130"/>
      <c r="F23" s="129">
        <f>F22</f>
        <v>0</v>
      </c>
      <c r="G23" s="130"/>
      <c r="H23" s="129">
        <f>H22</f>
        <v>0</v>
      </c>
      <c r="I23" s="131"/>
      <c r="J23" s="129">
        <f>J22</f>
        <v>-29266</v>
      </c>
      <c r="K23" s="131"/>
      <c r="L23" s="129">
        <f>L22</f>
        <v>-29266</v>
      </c>
      <c r="M23" s="3"/>
      <c r="N23" s="3"/>
    </row>
    <row r="24" spans="1:14" ht="23.25" customHeight="1" thickBot="1" x14ac:dyDescent="0.55000000000000004">
      <c r="A24" s="126" t="s">
        <v>149</v>
      </c>
      <c r="B24" s="21"/>
      <c r="C24" s="12"/>
      <c r="D24" s="142">
        <f>SUM(D12,D19,D23)</f>
        <v>6499830</v>
      </c>
      <c r="E24" s="122"/>
      <c r="F24" s="142">
        <f>SUM(F12,F19,F23)</f>
        <v>1532321</v>
      </c>
      <c r="G24" s="122"/>
      <c r="H24" s="142">
        <f>SUM(H12,H19,H23)</f>
        <v>358100</v>
      </c>
      <c r="I24" s="131"/>
      <c r="J24" s="142">
        <f>SUM(J12,J19,J23)</f>
        <v>2692558</v>
      </c>
      <c r="K24" s="131"/>
      <c r="L24" s="142">
        <f>SUM(L12,L19,L23)</f>
        <v>11082809</v>
      </c>
      <c r="M24" s="25"/>
      <c r="N24" s="3"/>
    </row>
    <row r="25" spans="1:14" ht="23.25" customHeight="1" thickTop="1" x14ac:dyDescent="0.5">
      <c r="A25" s="3"/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12"/>
    </row>
    <row r="26" spans="1:14" ht="23.25" customHeight="1" x14ac:dyDescent="0.5">
      <c r="A26" s="3"/>
      <c r="B26" s="2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12"/>
    </row>
    <row r="27" spans="1:14" ht="23.25" hidden="1" customHeight="1" x14ac:dyDescent="0.5">
      <c r="A27" s="3"/>
      <c r="B27" s="21"/>
      <c r="C27" s="3"/>
      <c r="D27" s="12">
        <f>[1]FS!G77</f>
        <v>2232682</v>
      </c>
      <c r="E27" s="3"/>
      <c r="F27" s="12">
        <f>[1]FS!G78</f>
        <v>1828229</v>
      </c>
      <c r="G27" s="3"/>
      <c r="H27" s="12">
        <f>[1]FS!G82</f>
        <v>228530</v>
      </c>
      <c r="I27" s="3"/>
      <c r="J27" s="12">
        <f>[1]FS!G83</f>
        <v>26538983</v>
      </c>
      <c r="K27" s="3"/>
      <c r="L27" s="12">
        <f>[1]FS!G87</f>
        <v>30828424</v>
      </c>
      <c r="M27" s="3"/>
      <c r="N27" s="3"/>
    </row>
    <row r="28" spans="1:14" ht="23.25" hidden="1" customHeight="1" x14ac:dyDescent="0.5">
      <c r="B28" s="21"/>
      <c r="C28" s="3"/>
      <c r="D28" s="25">
        <f>D24-D27</f>
        <v>4267148</v>
      </c>
      <c r="E28" s="3"/>
      <c r="F28" s="10">
        <f>F24-F27</f>
        <v>-295908</v>
      </c>
      <c r="G28" s="3"/>
      <c r="H28" s="10">
        <f>H24-H27</f>
        <v>129570</v>
      </c>
      <c r="I28" s="3"/>
      <c r="J28" s="10">
        <f>J24-J27</f>
        <v>-23846425</v>
      </c>
      <c r="K28" s="3"/>
      <c r="L28" s="10">
        <f>L24-L27</f>
        <v>-19745615</v>
      </c>
      <c r="M28" s="3"/>
      <c r="N28" s="3"/>
    </row>
    <row r="29" spans="1:14" ht="23.25" customHeight="1" x14ac:dyDescent="0.5">
      <c r="A29" s="3"/>
      <c r="B29" s="2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</sheetData>
  <mergeCells count="3">
    <mergeCell ref="D4:L4"/>
    <mergeCell ref="H6:J6"/>
    <mergeCell ref="D10:L10"/>
  </mergeCells>
  <printOptions horizontalCentered="1"/>
  <pageMargins left="0.8" right="0.8" top="0.48" bottom="0.5" header="0.5" footer="0.5"/>
  <pageSetup paperSize="9" scale="90" firstPageNumber="12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4" manualBreakCount="4">
    <brk id="130" max="16383" man="1"/>
    <brk id="131" max="16383" man="1"/>
    <brk id="132" max="16383" man="1"/>
    <brk id="13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0A837-1878-43A5-A045-A19A7E52C19C}">
  <dimension ref="A1:N21"/>
  <sheetViews>
    <sheetView view="pageBreakPreview" topLeftCell="A4" zoomScale="85" zoomScaleNormal="90" zoomScaleSheetLayoutView="85" workbookViewId="0">
      <selection activeCell="A15" sqref="A15"/>
    </sheetView>
  </sheetViews>
  <sheetFormatPr defaultColWidth="9.28515625" defaultRowHeight="23.25" customHeight="1" x14ac:dyDescent="0.5"/>
  <cols>
    <col min="1" max="1" width="51.7109375" customWidth="1"/>
    <col min="2" max="2" width="7.5703125" customWidth="1"/>
    <col min="3" max="3" width="1.42578125" customWidth="1"/>
    <col min="4" max="4" width="13.7109375" customWidth="1"/>
    <col min="5" max="5" width="1.42578125" customWidth="1"/>
    <col min="6" max="6" width="14" customWidth="1"/>
    <col min="7" max="7" width="1.42578125" customWidth="1"/>
    <col min="8" max="8" width="14.5703125" customWidth="1"/>
    <col min="9" max="9" width="1.42578125" customWidth="1"/>
    <col min="10" max="10" width="14.5703125" customWidth="1"/>
    <col min="11" max="11" width="1.42578125" customWidth="1"/>
    <col min="12" max="12" width="13.5703125" customWidth="1"/>
    <col min="13" max="13" width="11.7109375" customWidth="1"/>
  </cols>
  <sheetData>
    <row r="1" spans="1:13" ht="23.25" customHeight="1" x14ac:dyDescent="0.5">
      <c r="A1" s="18" t="s">
        <v>82</v>
      </c>
      <c r="B1" s="21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23.25" customHeight="1" x14ac:dyDescent="0.5">
      <c r="A2" s="18" t="s">
        <v>74</v>
      </c>
      <c r="B2" s="21"/>
      <c r="C2" s="3"/>
      <c r="D2" s="3"/>
      <c r="E2" s="3"/>
      <c r="F2" s="3"/>
      <c r="G2" s="3"/>
      <c r="H2" s="3"/>
      <c r="I2" s="3"/>
      <c r="J2" s="3"/>
      <c r="K2" s="3"/>
      <c r="L2" s="16"/>
      <c r="M2" s="3"/>
    </row>
    <row r="3" spans="1:13" ht="23.25" customHeight="1" x14ac:dyDescent="0.5">
      <c r="A3" s="4"/>
      <c r="B3" s="4"/>
      <c r="C3" s="4"/>
      <c r="D3" s="4"/>
      <c r="E3" s="4"/>
      <c r="F3" s="4"/>
      <c r="G3" s="3"/>
      <c r="H3" s="3"/>
      <c r="I3" s="3"/>
      <c r="J3" s="3"/>
      <c r="K3" s="3"/>
      <c r="L3" s="3"/>
      <c r="M3" s="3"/>
    </row>
    <row r="4" spans="1:13" ht="23.25" customHeight="1" x14ac:dyDescent="0.5">
      <c r="A4" s="61"/>
      <c r="B4" s="94"/>
      <c r="C4" s="94"/>
      <c r="D4" s="179" t="s">
        <v>46</v>
      </c>
      <c r="E4" s="179"/>
      <c r="F4" s="179"/>
      <c r="G4" s="179"/>
      <c r="H4" s="179"/>
      <c r="I4" s="179"/>
      <c r="J4" s="179"/>
      <c r="K4" s="179"/>
      <c r="L4" s="179"/>
      <c r="M4" s="3"/>
    </row>
    <row r="5" spans="1:13" ht="23.25" customHeight="1" x14ac:dyDescent="0.5">
      <c r="A5" s="61"/>
      <c r="B5" s="94"/>
      <c r="C5" s="91"/>
      <c r="D5" s="91"/>
      <c r="E5" s="91"/>
      <c r="F5" s="91"/>
      <c r="G5" s="91"/>
      <c r="H5" s="91"/>
      <c r="I5" s="91"/>
      <c r="J5" s="91"/>
      <c r="K5" s="91"/>
      <c r="L5" s="91"/>
      <c r="M5" s="3"/>
    </row>
    <row r="6" spans="1:13" ht="23.25" customHeight="1" x14ac:dyDescent="0.5">
      <c r="A6" s="61"/>
      <c r="B6" s="94"/>
      <c r="C6" s="3"/>
      <c r="D6" s="22"/>
      <c r="E6" s="3"/>
      <c r="F6" s="92"/>
      <c r="G6" s="96"/>
      <c r="H6" s="183" t="s">
        <v>15</v>
      </c>
      <c r="I6" s="183"/>
      <c r="J6" s="183"/>
      <c r="K6" s="92"/>
      <c r="L6" s="3"/>
      <c r="M6" s="3"/>
    </row>
    <row r="7" spans="1:13" ht="23.25" customHeight="1" x14ac:dyDescent="0.5">
      <c r="A7" s="61"/>
      <c r="B7" s="94"/>
      <c r="C7" s="3"/>
      <c r="D7" s="92" t="s">
        <v>0</v>
      </c>
      <c r="E7" s="3"/>
      <c r="F7" s="92"/>
      <c r="G7" s="96"/>
      <c r="H7" s="22"/>
      <c r="I7" s="22"/>
      <c r="J7" s="22"/>
      <c r="K7" s="92"/>
      <c r="L7" s="22"/>
      <c r="M7" s="3"/>
    </row>
    <row r="8" spans="1:13" ht="23.25" customHeight="1" x14ac:dyDescent="0.5">
      <c r="A8" s="61"/>
      <c r="B8" s="65"/>
      <c r="C8" s="3"/>
      <c r="D8" s="92" t="s">
        <v>59</v>
      </c>
      <c r="E8" s="3"/>
      <c r="F8" s="92" t="s">
        <v>38</v>
      </c>
      <c r="G8" s="96"/>
      <c r="H8" s="92" t="s">
        <v>60</v>
      </c>
      <c r="I8" s="92"/>
      <c r="J8" s="92" t="s">
        <v>61</v>
      </c>
      <c r="K8" s="92"/>
      <c r="L8" s="92" t="s">
        <v>170</v>
      </c>
      <c r="M8" s="3"/>
    </row>
    <row r="9" spans="1:13" ht="23.25" customHeight="1" x14ac:dyDescent="0.5">
      <c r="A9" s="61"/>
      <c r="B9" s="65"/>
      <c r="C9" s="3"/>
      <c r="D9" s="92" t="s">
        <v>35</v>
      </c>
      <c r="E9" s="3"/>
      <c r="F9" s="92" t="s">
        <v>37</v>
      </c>
      <c r="G9" s="96"/>
      <c r="H9" s="92" t="s">
        <v>36</v>
      </c>
      <c r="I9" s="92"/>
      <c r="J9" s="92" t="s">
        <v>62</v>
      </c>
      <c r="K9" s="92"/>
      <c r="L9" s="92" t="s">
        <v>172</v>
      </c>
      <c r="M9" s="3"/>
    </row>
    <row r="10" spans="1:13" ht="23.25" customHeight="1" x14ac:dyDescent="0.5">
      <c r="A10" s="22"/>
      <c r="B10" s="94"/>
      <c r="C10" s="94"/>
      <c r="D10" s="184" t="s">
        <v>73</v>
      </c>
      <c r="E10" s="184"/>
      <c r="F10" s="184"/>
      <c r="G10" s="184"/>
      <c r="H10" s="184"/>
      <c r="I10" s="184"/>
      <c r="J10" s="184"/>
      <c r="K10" s="184"/>
      <c r="L10" s="184"/>
      <c r="M10" s="3"/>
    </row>
    <row r="11" spans="1:13" ht="23.25" customHeight="1" x14ac:dyDescent="0.5">
      <c r="A11" s="116" t="s">
        <v>185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3"/>
    </row>
    <row r="12" spans="1:13" ht="23.25" customHeight="1" x14ac:dyDescent="0.5">
      <c r="A12" s="126" t="s">
        <v>84</v>
      </c>
      <c r="B12" s="136"/>
      <c r="C12" s="12"/>
      <c r="D12" s="12">
        <v>6499830</v>
      </c>
      <c r="E12" s="12">
        <v>0</v>
      </c>
      <c r="F12" s="12">
        <v>1532321</v>
      </c>
      <c r="G12" s="12">
        <v>0</v>
      </c>
      <c r="H12" s="12">
        <v>366900</v>
      </c>
      <c r="I12" s="12">
        <v>0</v>
      </c>
      <c r="J12" s="12">
        <v>2885502</v>
      </c>
      <c r="K12" s="12"/>
      <c r="L12" s="12">
        <f>SUM(D12:J12)</f>
        <v>11284553</v>
      </c>
      <c r="M12" s="3"/>
    </row>
    <row r="13" spans="1:13" ht="23.25" customHeight="1" x14ac:dyDescent="0.5">
      <c r="A13" s="126" t="s">
        <v>180</v>
      </c>
      <c r="B13" s="21"/>
      <c r="C13" s="12"/>
      <c r="D13" s="12"/>
      <c r="E13" s="12"/>
      <c r="F13" s="12"/>
      <c r="G13" s="12"/>
      <c r="H13" s="12"/>
      <c r="I13" s="12"/>
      <c r="J13" s="12"/>
      <c r="K13" s="12"/>
      <c r="L13" s="68"/>
      <c r="M13" s="3"/>
    </row>
    <row r="14" spans="1:13" ht="23.25" customHeight="1" x14ac:dyDescent="0.5">
      <c r="A14" s="22" t="s">
        <v>182</v>
      </c>
      <c r="B14" s="21"/>
      <c r="C14" s="139"/>
      <c r="D14" s="66">
        <v>0</v>
      </c>
      <c r="E14" s="139"/>
      <c r="F14" s="66">
        <v>0</v>
      </c>
      <c r="G14" s="118"/>
      <c r="H14" s="66">
        <v>0</v>
      </c>
      <c r="I14" s="12"/>
      <c r="J14" s="141">
        <f>'PL9'!G104</f>
        <v>119532</v>
      </c>
      <c r="K14" s="143"/>
      <c r="L14" s="69">
        <f>SUM(D14:J14)</f>
        <v>119532</v>
      </c>
      <c r="M14" s="3"/>
    </row>
    <row r="15" spans="1:13" ht="23.25" customHeight="1" x14ac:dyDescent="0.5">
      <c r="A15" s="126" t="s">
        <v>223</v>
      </c>
      <c r="B15" s="21"/>
      <c r="C15" s="130"/>
      <c r="D15" s="129">
        <f>D14</f>
        <v>0</v>
      </c>
      <c r="E15" s="130"/>
      <c r="F15" s="129">
        <f>F14</f>
        <v>0</v>
      </c>
      <c r="G15" s="130"/>
      <c r="H15" s="129">
        <f>H14</f>
        <v>0</v>
      </c>
      <c r="I15" s="15"/>
      <c r="J15" s="129">
        <f>J14</f>
        <v>119532</v>
      </c>
      <c r="K15" s="15"/>
      <c r="L15" s="129">
        <f>L14</f>
        <v>119532</v>
      </c>
      <c r="M15" s="3"/>
    </row>
    <row r="16" spans="1:13" ht="23.25" customHeight="1" thickBot="1" x14ac:dyDescent="0.55000000000000004">
      <c r="A16" s="126" t="s">
        <v>150</v>
      </c>
      <c r="B16" s="21"/>
      <c r="C16" s="12"/>
      <c r="D16" s="14">
        <f>SUM(D12,D15)</f>
        <v>6499830</v>
      </c>
      <c r="E16" s="12"/>
      <c r="F16" s="14">
        <f>SUM(F12,F15)</f>
        <v>1532321</v>
      </c>
      <c r="G16" s="12"/>
      <c r="H16" s="14">
        <f>SUM(H12,H15)</f>
        <v>366900</v>
      </c>
      <c r="I16" s="15"/>
      <c r="J16" s="14">
        <f>SUM(J12,J15)</f>
        <v>3005034</v>
      </c>
      <c r="K16" s="15"/>
      <c r="L16" s="14">
        <f>SUM(L12,L15)</f>
        <v>11404085</v>
      </c>
      <c r="M16" s="25"/>
    </row>
    <row r="17" spans="4:14" ht="23.25" customHeight="1" thickTop="1" x14ac:dyDescent="0.5">
      <c r="D17" s="3"/>
      <c r="E17" s="3"/>
      <c r="F17" s="3"/>
      <c r="G17" s="3"/>
      <c r="H17" s="3"/>
      <c r="I17" s="3"/>
      <c r="J17" s="3"/>
      <c r="K17" s="3"/>
      <c r="L17" s="3"/>
      <c r="M17" s="3"/>
      <c r="N17" s="12"/>
    </row>
    <row r="18" spans="4:14" ht="23.25" customHeight="1" x14ac:dyDescent="0.5">
      <c r="D18" s="3"/>
      <c r="E18" s="3"/>
      <c r="F18" s="3"/>
      <c r="G18" s="3"/>
      <c r="H18" s="3"/>
      <c r="I18" s="3"/>
      <c r="J18" s="3"/>
      <c r="K18" s="3"/>
      <c r="L18" s="3"/>
      <c r="M18" s="3"/>
      <c r="N18" s="12"/>
    </row>
    <row r="19" spans="4:14" ht="23.25" hidden="1" customHeight="1" x14ac:dyDescent="0.5">
      <c r="D19" s="12">
        <f>[1]FS!G77</f>
        <v>2232682</v>
      </c>
      <c r="E19" s="3"/>
      <c r="F19" s="12">
        <f>[1]FS!G78</f>
        <v>1828229</v>
      </c>
      <c r="G19" s="3"/>
      <c r="H19" s="12">
        <f>[1]FS!G82</f>
        <v>228530</v>
      </c>
      <c r="I19" s="3"/>
      <c r="J19" s="12">
        <f>[1]FS!G83</f>
        <v>26538983</v>
      </c>
      <c r="K19" s="3"/>
      <c r="L19" s="12">
        <f>[1]FS!G87</f>
        <v>30828424</v>
      </c>
      <c r="M19" s="3"/>
      <c r="N19" s="3"/>
    </row>
    <row r="20" spans="4:14" ht="23.25" hidden="1" customHeight="1" x14ac:dyDescent="0.5">
      <c r="E20" s="3"/>
      <c r="F20" s="10">
        <f>F16-F19</f>
        <v>-295908</v>
      </c>
      <c r="G20" s="3"/>
      <c r="H20" s="10">
        <f>H16-H19</f>
        <v>138370</v>
      </c>
      <c r="I20" s="3"/>
      <c r="J20" s="10">
        <f>J16-J19</f>
        <v>-23533949</v>
      </c>
      <c r="K20" s="3"/>
      <c r="L20" s="10">
        <f>L16-L19</f>
        <v>-19424339</v>
      </c>
      <c r="M20" s="3"/>
      <c r="N20" s="3"/>
    </row>
    <row r="21" spans="4:14" ht="23.25" customHeight="1" x14ac:dyDescent="0.5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</sheetData>
  <mergeCells count="3">
    <mergeCell ref="D4:L4"/>
    <mergeCell ref="H6:J6"/>
    <mergeCell ref="D10:L10"/>
  </mergeCells>
  <pageMargins left="0.8" right="0.8" top="0.48" bottom="0.5" header="0.5" footer="0.5"/>
  <pageSetup paperSize="9" firstPageNumber="13" orientation="landscape" useFirstPageNumber="1" r:id="rId1"/>
  <headerFooter alignWithMargins="0">
    <oddFooter xml:space="preserve">&amp;L  หมายเหตุประกอบงบการเงินเป็นส่วนหนึ่งของงบการเงินระหว่างกาลนี้
&amp;C
&amp;P&amp;R&amp;"Angsana New,Italic"&amp;15
</oddFooter>
  </headerFooter>
  <rowBreaks count="4" manualBreakCount="4">
    <brk id="122" max="16383" man="1"/>
    <brk id="123" max="16383" man="1"/>
    <brk id="124" max="16383" man="1"/>
    <brk id="1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CA108-52D6-4D07-B325-1855CE9A76D4}">
  <sheetPr>
    <tabColor rgb="FF00FFFF"/>
  </sheetPr>
  <dimension ref="A1:R114"/>
  <sheetViews>
    <sheetView view="pageBreakPreview" topLeftCell="A4" zoomScale="85" zoomScaleNormal="85" zoomScaleSheetLayoutView="85" workbookViewId="0">
      <selection activeCell="J12" sqref="J12"/>
    </sheetView>
  </sheetViews>
  <sheetFormatPr defaultColWidth="9.28515625" defaultRowHeight="23.25" customHeight="1" x14ac:dyDescent="0.45"/>
  <cols>
    <col min="1" max="1" width="65.42578125" style="3" customWidth="1"/>
    <col min="2" max="2" width="10" style="3" customWidth="1"/>
    <col min="3" max="3" width="1" style="3" customWidth="1"/>
    <col min="4" max="4" width="11.28515625" style="3" bestFit="1" customWidth="1"/>
    <col min="5" max="5" width="1" style="3" customWidth="1"/>
    <col min="6" max="6" width="11.42578125" style="3" customWidth="1"/>
    <col min="7" max="7" width="1" style="3" customWidth="1"/>
    <col min="8" max="8" width="11.28515625" style="3" bestFit="1" customWidth="1"/>
    <col min="9" max="9" width="1" style="3" customWidth="1"/>
    <col min="10" max="10" width="11.5703125" style="3" customWidth="1"/>
    <col min="11" max="11" width="15.42578125" style="10" customWidth="1"/>
    <col min="12" max="12" width="15.28515625" style="10" bestFit="1" customWidth="1"/>
    <col min="13" max="15" width="14.28515625" style="10" customWidth="1"/>
    <col min="16" max="16" width="14.42578125" style="3" bestFit="1" customWidth="1"/>
    <col min="17" max="17" width="2.28515625" style="3" customWidth="1"/>
    <col min="18" max="18" width="14.42578125" style="3" bestFit="1" customWidth="1"/>
    <col min="19" max="16384" width="9.28515625" style="3"/>
  </cols>
  <sheetData>
    <row r="1" spans="1:15" ht="21.75" customHeight="1" x14ac:dyDescent="0.5">
      <c r="A1" s="18" t="s">
        <v>82</v>
      </c>
      <c r="B1" s="18"/>
      <c r="C1" s="18"/>
    </row>
    <row r="2" spans="1:15" ht="21.75" customHeight="1" x14ac:dyDescent="0.5">
      <c r="A2" s="18" t="s">
        <v>76</v>
      </c>
      <c r="B2" s="18"/>
      <c r="C2" s="18"/>
      <c r="E2" s="6"/>
      <c r="G2" s="6"/>
    </row>
    <row r="3" spans="1:15" ht="21.75" customHeight="1" x14ac:dyDescent="0.45">
      <c r="A3" s="22"/>
      <c r="B3" s="22"/>
      <c r="C3" s="22"/>
      <c r="D3" s="179" t="s">
        <v>32</v>
      </c>
      <c r="E3" s="179"/>
      <c r="F3" s="179"/>
      <c r="G3" s="179"/>
      <c r="H3" s="179" t="s">
        <v>46</v>
      </c>
      <c r="I3" s="179"/>
      <c r="J3" s="179"/>
    </row>
    <row r="4" spans="1:15" ht="21.75" customHeight="1" x14ac:dyDescent="0.45">
      <c r="A4" s="22"/>
      <c r="B4" s="22"/>
      <c r="C4" s="22"/>
      <c r="D4" s="180" t="s">
        <v>148</v>
      </c>
      <c r="E4" s="180"/>
      <c r="F4" s="180"/>
      <c r="G4" s="180"/>
      <c r="H4" s="180" t="s">
        <v>148</v>
      </c>
      <c r="I4" s="180"/>
      <c r="J4" s="180"/>
      <c r="K4" s="3"/>
      <c r="L4" s="3"/>
      <c r="M4" s="3"/>
      <c r="N4" s="3"/>
      <c r="O4" s="3"/>
    </row>
    <row r="5" spans="1:15" ht="21.75" customHeight="1" x14ac:dyDescent="0.45">
      <c r="A5" s="22"/>
      <c r="B5" s="22"/>
      <c r="C5" s="22"/>
      <c r="D5" s="180" t="s">
        <v>143</v>
      </c>
      <c r="E5" s="180"/>
      <c r="F5" s="180"/>
      <c r="H5" s="180" t="s">
        <v>143</v>
      </c>
      <c r="I5" s="180"/>
      <c r="J5" s="180"/>
      <c r="K5" s="3"/>
      <c r="L5" s="3"/>
      <c r="M5" s="3"/>
      <c r="N5" s="3"/>
      <c r="O5" s="3"/>
    </row>
    <row r="6" spans="1:15" ht="21.75" customHeight="1" x14ac:dyDescent="0.45">
      <c r="A6" s="16"/>
      <c r="B6" s="177"/>
      <c r="C6" s="16"/>
      <c r="D6" s="23">
        <v>2562</v>
      </c>
      <c r="E6" s="23"/>
      <c r="F6" s="23">
        <v>2561</v>
      </c>
      <c r="G6" s="23"/>
      <c r="H6" s="23">
        <v>2562</v>
      </c>
      <c r="I6" s="23"/>
      <c r="J6" s="23">
        <v>2561</v>
      </c>
    </row>
    <row r="7" spans="1:15" ht="21.75" customHeight="1" x14ac:dyDescent="0.45">
      <c r="D7" s="181" t="s">
        <v>73</v>
      </c>
      <c r="E7" s="181"/>
      <c r="F7" s="181"/>
      <c r="G7" s="181"/>
      <c r="H7" s="181"/>
      <c r="I7" s="181"/>
      <c r="J7" s="181"/>
    </row>
    <row r="8" spans="1:15" ht="21.75" customHeight="1" x14ac:dyDescent="0.45">
      <c r="A8" s="41" t="s">
        <v>19</v>
      </c>
      <c r="B8" s="41"/>
      <c r="C8" s="41"/>
      <c r="D8" s="6"/>
      <c r="E8" s="7"/>
      <c r="F8" s="6"/>
      <c r="G8" s="7"/>
      <c r="H8" s="7"/>
      <c r="I8" s="7"/>
      <c r="J8" s="7"/>
    </row>
    <row r="9" spans="1:15" ht="21.75" customHeight="1" x14ac:dyDescent="0.45">
      <c r="A9" s="3" t="s">
        <v>130</v>
      </c>
      <c r="D9" s="36">
        <f>'PL9'!C91</f>
        <v>408573</v>
      </c>
      <c r="E9" s="7"/>
      <c r="F9" s="36">
        <f>'PL9'!E91</f>
        <v>275806</v>
      </c>
      <c r="G9" s="7"/>
      <c r="H9" s="36">
        <f>'PL9'!G91</f>
        <v>119532</v>
      </c>
      <c r="I9" s="7"/>
      <c r="J9" s="36">
        <f>'PL9'!I91</f>
        <v>-29266</v>
      </c>
      <c r="K9" s="70"/>
      <c r="N9" s="36"/>
    </row>
    <row r="10" spans="1:15" ht="21.75" customHeight="1" x14ac:dyDescent="0.45">
      <c r="A10" s="144" t="s">
        <v>187</v>
      </c>
      <c r="B10" s="144"/>
      <c r="C10" s="144"/>
      <c r="D10" s="44"/>
      <c r="E10" s="7"/>
      <c r="F10" s="44"/>
      <c r="G10" s="7"/>
      <c r="H10" s="44"/>
      <c r="I10" s="7"/>
      <c r="J10" s="44"/>
      <c r="K10" s="70"/>
      <c r="N10" s="36"/>
    </row>
    <row r="11" spans="1:15" ht="21.4" customHeight="1" x14ac:dyDescent="0.45">
      <c r="A11" s="145" t="s">
        <v>160</v>
      </c>
      <c r="B11" s="145"/>
      <c r="C11" s="145"/>
      <c r="D11" s="67">
        <f>'PL9'!C90</f>
        <v>147560</v>
      </c>
      <c r="E11" s="43"/>
      <c r="F11" s="67">
        <f>'PL9'!E90</f>
        <v>118530</v>
      </c>
      <c r="G11" s="43"/>
      <c r="H11" s="67">
        <f>'PL9'!G90</f>
        <v>21712</v>
      </c>
      <c r="I11" s="43"/>
      <c r="J11" s="67">
        <f>'PL9'!I90</f>
        <v>-2111</v>
      </c>
      <c r="K11" s="70"/>
      <c r="N11" s="36"/>
    </row>
    <row r="12" spans="1:15" ht="21.75" customHeight="1" x14ac:dyDescent="0.45">
      <c r="A12" s="145" t="s">
        <v>156</v>
      </c>
      <c r="B12" s="145"/>
      <c r="C12" s="145"/>
      <c r="D12" s="36">
        <f>290635-79909</f>
        <v>210726</v>
      </c>
      <c r="E12" s="7"/>
      <c r="F12" s="36">
        <f>268021+2755</f>
        <v>270776</v>
      </c>
      <c r="G12" s="7"/>
      <c r="H12" s="36">
        <v>195524</v>
      </c>
      <c r="I12" s="36">
        <f>'PL9'!H84</f>
        <v>0</v>
      </c>
      <c r="J12" s="36">
        <f>267484+2755-49757</f>
        <v>220482</v>
      </c>
      <c r="K12" s="70"/>
      <c r="L12" s="10">
        <v>210726.08995899436</v>
      </c>
      <c r="M12" s="10">
        <f>D12-L12</f>
        <v>-8.9958994358312339E-2</v>
      </c>
      <c r="N12" s="36">
        <v>-79909</v>
      </c>
    </row>
    <row r="13" spans="1:15" ht="21.75" customHeight="1" x14ac:dyDescent="0.45">
      <c r="A13" s="145" t="s">
        <v>51</v>
      </c>
      <c r="B13" s="145"/>
      <c r="C13" s="145"/>
      <c r="D13" s="67">
        <v>8364</v>
      </c>
      <c r="E13" s="7"/>
      <c r="F13" s="146">
        <v>10907</v>
      </c>
      <c r="G13" s="7"/>
      <c r="H13" s="36">
        <v>2135</v>
      </c>
      <c r="I13" s="7"/>
      <c r="J13" s="146">
        <v>3183</v>
      </c>
      <c r="K13" s="70"/>
      <c r="L13" s="10">
        <v>246073.89829438349</v>
      </c>
      <c r="M13" s="10">
        <f>H12-L13</f>
        <v>-50549.898294383485</v>
      </c>
      <c r="N13" s="36"/>
    </row>
    <row r="14" spans="1:15" ht="21.75" customHeight="1" x14ac:dyDescent="0.45">
      <c r="A14" s="145" t="s">
        <v>188</v>
      </c>
      <c r="B14" s="145"/>
      <c r="C14" s="145"/>
      <c r="D14" s="67">
        <v>753</v>
      </c>
      <c r="E14" s="7"/>
      <c r="F14" s="146">
        <v>953</v>
      </c>
      <c r="G14" s="7"/>
      <c r="H14" s="42">
        <v>0</v>
      </c>
      <c r="I14" s="7"/>
      <c r="J14" s="146">
        <v>18753</v>
      </c>
      <c r="K14" s="70"/>
      <c r="N14" s="36"/>
    </row>
    <row r="15" spans="1:15" ht="21.75" customHeight="1" x14ac:dyDescent="0.45">
      <c r="A15" s="145" t="s">
        <v>146</v>
      </c>
      <c r="B15" s="145"/>
      <c r="C15" s="145"/>
      <c r="D15" s="67">
        <v>0</v>
      </c>
      <c r="E15" s="7"/>
      <c r="F15" s="146">
        <v>0</v>
      </c>
      <c r="G15" s="7"/>
      <c r="H15" s="42">
        <v>0</v>
      </c>
      <c r="I15" s="7"/>
      <c r="J15" s="146">
        <v>6000</v>
      </c>
      <c r="K15" s="70"/>
      <c r="N15" s="36"/>
    </row>
    <row r="16" spans="1:15" ht="21.75" customHeight="1" x14ac:dyDescent="0.45">
      <c r="A16" s="145" t="s">
        <v>215</v>
      </c>
      <c r="B16" s="147"/>
      <c r="C16" s="145"/>
      <c r="D16" s="67">
        <v>-615</v>
      </c>
      <c r="E16" s="148"/>
      <c r="F16" s="36">
        <v>-65412</v>
      </c>
      <c r="G16" s="148"/>
      <c r="H16" s="36">
        <v>31601</v>
      </c>
      <c r="I16" s="7"/>
      <c r="J16" s="42">
        <v>10795</v>
      </c>
      <c r="K16" s="70"/>
      <c r="N16" s="36"/>
    </row>
    <row r="17" spans="1:14" ht="21.75" customHeight="1" x14ac:dyDescent="0.45">
      <c r="A17" s="145" t="s">
        <v>98</v>
      </c>
      <c r="B17" s="147"/>
      <c r="C17" s="145"/>
      <c r="D17" s="67">
        <v>6350</v>
      </c>
      <c r="E17" s="148"/>
      <c r="F17" s="36">
        <v>6482</v>
      </c>
      <c r="G17" s="148"/>
      <c r="H17" s="42">
        <v>0</v>
      </c>
      <c r="I17" s="7"/>
      <c r="J17" s="42">
        <v>0</v>
      </c>
      <c r="K17" s="70"/>
      <c r="N17" s="36"/>
    </row>
    <row r="18" spans="1:14" ht="21.75" customHeight="1" x14ac:dyDescent="0.45">
      <c r="A18" s="145" t="s">
        <v>189</v>
      </c>
      <c r="B18" s="145"/>
      <c r="C18" s="145"/>
      <c r="D18" s="67">
        <v>-1889</v>
      </c>
      <c r="E18" s="7"/>
      <c r="F18" s="36">
        <v>0</v>
      </c>
      <c r="G18" s="7"/>
      <c r="H18" s="36">
        <v>-634</v>
      </c>
      <c r="I18" s="7"/>
      <c r="J18" s="36">
        <v>-2884</v>
      </c>
      <c r="L18" s="70"/>
      <c r="N18" s="36"/>
    </row>
    <row r="19" spans="1:14" ht="21.4" customHeight="1" x14ac:dyDescent="0.45">
      <c r="A19" s="145" t="s">
        <v>190</v>
      </c>
      <c r="B19" s="145"/>
      <c r="C19" s="145"/>
      <c r="D19" s="67">
        <v>1141</v>
      </c>
      <c r="E19" s="7"/>
      <c r="F19" s="146">
        <v>1931</v>
      </c>
      <c r="G19" s="7"/>
      <c r="H19" s="36">
        <v>638</v>
      </c>
      <c r="I19" s="7"/>
      <c r="J19" s="7">
        <v>1745</v>
      </c>
      <c r="K19" s="70"/>
      <c r="N19" s="36"/>
    </row>
    <row r="20" spans="1:14" ht="21.75" customHeight="1" x14ac:dyDescent="0.45">
      <c r="A20" s="145" t="s">
        <v>191</v>
      </c>
      <c r="B20" s="145"/>
      <c r="C20" s="145"/>
      <c r="D20" s="67">
        <v>-175048</v>
      </c>
      <c r="E20" s="7"/>
      <c r="F20" s="146">
        <v>-178207</v>
      </c>
      <c r="G20" s="7"/>
      <c r="H20" s="36">
        <v>-115595</v>
      </c>
      <c r="I20" s="7"/>
      <c r="J20" s="7">
        <v>-115595</v>
      </c>
      <c r="K20" s="36"/>
      <c r="L20" s="36"/>
      <c r="N20" s="36"/>
    </row>
    <row r="21" spans="1:14" ht="21.75" customHeight="1" x14ac:dyDescent="0.45">
      <c r="A21" s="145" t="s">
        <v>192</v>
      </c>
      <c r="B21" s="145"/>
      <c r="C21" s="145"/>
      <c r="D21" s="67">
        <v>-49876</v>
      </c>
      <c r="E21" s="7"/>
      <c r="F21" s="36">
        <v>-73636</v>
      </c>
      <c r="G21" s="7"/>
      <c r="H21" s="36">
        <v>0</v>
      </c>
      <c r="I21" s="7"/>
      <c r="J21" s="42">
        <v>0</v>
      </c>
      <c r="K21" s="70"/>
      <c r="N21" s="36"/>
    </row>
    <row r="22" spans="1:14" ht="21.75" customHeight="1" x14ac:dyDescent="0.45">
      <c r="A22" s="145" t="s">
        <v>69</v>
      </c>
      <c r="B22" s="149"/>
      <c r="C22" s="145"/>
      <c r="D22" s="67">
        <v>4258</v>
      </c>
      <c r="E22" s="7"/>
      <c r="F22" s="36">
        <v>195690</v>
      </c>
      <c r="G22" s="7"/>
      <c r="H22" s="36">
        <v>0</v>
      </c>
      <c r="I22" s="7"/>
      <c r="J22" s="42">
        <v>0</v>
      </c>
      <c r="K22" s="70"/>
      <c r="N22" s="36"/>
    </row>
    <row r="23" spans="1:14" ht="21.75" customHeight="1" x14ac:dyDescent="0.45">
      <c r="A23" s="145" t="s">
        <v>83</v>
      </c>
      <c r="B23" s="149"/>
      <c r="C23" s="145"/>
      <c r="D23" s="79">
        <v>-99000</v>
      </c>
      <c r="E23" s="7"/>
      <c r="F23" s="50">
        <f>-194407+49757-49757</f>
        <v>-194407</v>
      </c>
      <c r="G23" s="7"/>
      <c r="H23" s="50">
        <v>-200548</v>
      </c>
      <c r="I23" s="7"/>
      <c r="J23" s="53">
        <f>-189125</f>
        <v>-189125</v>
      </c>
      <c r="K23" s="70"/>
      <c r="N23" s="36"/>
    </row>
    <row r="24" spans="1:14" ht="21.6" customHeight="1" x14ac:dyDescent="0.45">
      <c r="A24" s="150"/>
      <c r="B24" s="150"/>
      <c r="C24" s="150"/>
      <c r="D24" s="67">
        <f>SUM(D9:D23)</f>
        <v>461297</v>
      </c>
      <c r="E24" s="43"/>
      <c r="F24" s="146">
        <f>SUM(F9:F23)</f>
        <v>369413</v>
      </c>
      <c r="G24" s="43"/>
      <c r="H24" s="36">
        <f>SUM(H9:H23)</f>
        <v>54365</v>
      </c>
      <c r="I24" s="43"/>
      <c r="J24" s="9">
        <f>SUM(J9:J23)</f>
        <v>-78023</v>
      </c>
      <c r="K24" s="70"/>
      <c r="L24" s="36"/>
      <c r="N24" s="36"/>
    </row>
    <row r="25" spans="1:14" ht="21.6" customHeight="1" x14ac:dyDescent="0.45">
      <c r="A25" s="144" t="s">
        <v>193</v>
      </c>
      <c r="B25" s="144"/>
      <c r="C25" s="144"/>
      <c r="D25" s="146"/>
      <c r="E25" s="7"/>
      <c r="F25" s="7"/>
      <c r="G25" s="7"/>
      <c r="H25" s="7"/>
      <c r="I25" s="7"/>
      <c r="J25" s="7"/>
      <c r="N25" s="36"/>
    </row>
    <row r="26" spans="1:14" ht="21.6" customHeight="1" x14ac:dyDescent="0.45">
      <c r="A26" s="145" t="s">
        <v>132</v>
      </c>
      <c r="B26" s="145"/>
      <c r="C26" s="145"/>
      <c r="D26" s="67">
        <v>-18891</v>
      </c>
      <c r="E26" s="7"/>
      <c r="F26" s="36">
        <f>-93511+65872</f>
        <v>-27639</v>
      </c>
      <c r="G26" s="7"/>
      <c r="H26" s="36">
        <v>-11923</v>
      </c>
      <c r="I26" s="7"/>
      <c r="J26" s="42">
        <f>-42163+54877</f>
        <v>12714</v>
      </c>
      <c r="K26" s="36"/>
      <c r="L26" s="36"/>
      <c r="M26" s="36"/>
      <c r="N26" s="36"/>
    </row>
    <row r="27" spans="1:14" ht="21.6" customHeight="1" x14ac:dyDescent="0.45">
      <c r="A27" s="145" t="s">
        <v>131</v>
      </c>
      <c r="B27" s="145"/>
      <c r="C27" s="145"/>
      <c r="D27" s="67">
        <f>23206+3802+1</f>
        <v>27009</v>
      </c>
      <c r="E27" s="7"/>
      <c r="F27" s="36">
        <f>7416-65872</f>
        <v>-58456</v>
      </c>
      <c r="G27" s="7"/>
      <c r="H27" s="36">
        <f>-83661+3802</f>
        <v>-79859</v>
      </c>
      <c r="I27" s="7"/>
      <c r="J27" s="42">
        <f>1181-54877</f>
        <v>-53696</v>
      </c>
      <c r="K27" s="36" t="s">
        <v>142</v>
      </c>
      <c r="L27" s="36"/>
      <c r="M27" s="36"/>
      <c r="N27" s="36"/>
    </row>
    <row r="28" spans="1:14" ht="21.75" customHeight="1" x14ac:dyDescent="0.45">
      <c r="A28" s="145" t="s">
        <v>52</v>
      </c>
      <c r="B28" s="145"/>
      <c r="C28" s="145"/>
      <c r="D28" s="67">
        <v>11851</v>
      </c>
      <c r="E28" s="7"/>
      <c r="F28" s="36">
        <v>57581</v>
      </c>
      <c r="G28" s="7"/>
      <c r="H28" s="36">
        <v>0</v>
      </c>
      <c r="I28" s="7"/>
      <c r="J28" s="42">
        <v>0</v>
      </c>
      <c r="L28" s="36"/>
      <c r="N28" s="36"/>
    </row>
    <row r="29" spans="1:14" ht="21.4" customHeight="1" x14ac:dyDescent="0.45">
      <c r="A29" s="145" t="s">
        <v>4</v>
      </c>
      <c r="B29" s="145"/>
      <c r="C29" s="145"/>
      <c r="D29" s="67">
        <v>-32493</v>
      </c>
      <c r="E29" s="7"/>
      <c r="F29" s="36">
        <v>23769</v>
      </c>
      <c r="G29" s="7"/>
      <c r="H29" s="36">
        <v>-5009</v>
      </c>
      <c r="I29" s="7"/>
      <c r="J29" s="42">
        <v>-834</v>
      </c>
      <c r="K29" s="36"/>
      <c r="L29" s="36"/>
      <c r="N29" s="36"/>
    </row>
    <row r="30" spans="1:14" ht="21.4" customHeight="1" x14ac:dyDescent="0.45">
      <c r="A30" s="145" t="s">
        <v>20</v>
      </c>
      <c r="B30" s="145"/>
      <c r="C30" s="145"/>
      <c r="D30" s="67">
        <f>-311059+327099</f>
        <v>16040</v>
      </c>
      <c r="E30" s="7"/>
      <c r="F30" s="36">
        <v>-4930</v>
      </c>
      <c r="G30" s="7"/>
      <c r="H30" s="36">
        <v>7805</v>
      </c>
      <c r="I30" s="7"/>
      <c r="J30" s="42">
        <v>-1342</v>
      </c>
      <c r="K30" s="36"/>
      <c r="L30" s="36">
        <v>16039.726079999877</v>
      </c>
      <c r="M30" s="10">
        <f>D30-L30</f>
        <v>0.27392000012332574</v>
      </c>
      <c r="N30" s="36">
        <v>327099</v>
      </c>
    </row>
    <row r="31" spans="1:14" ht="21.75" customHeight="1" x14ac:dyDescent="0.45">
      <c r="A31" s="3" t="s">
        <v>134</v>
      </c>
      <c r="D31" s="67">
        <v>-64827</v>
      </c>
      <c r="E31" s="7"/>
      <c r="F31" s="36">
        <f>-14434+12183-91754</f>
        <v>-94005</v>
      </c>
      <c r="G31" s="7"/>
      <c r="H31" s="36">
        <v>49731</v>
      </c>
      <c r="I31" s="7"/>
      <c r="J31" s="42">
        <f>-27887-16536</f>
        <v>-44423</v>
      </c>
      <c r="K31" s="36"/>
      <c r="L31" s="36"/>
      <c r="N31" s="36"/>
    </row>
    <row r="32" spans="1:14" ht="21.4" customHeight="1" x14ac:dyDescent="0.45">
      <c r="A32" s="3" t="s">
        <v>135</v>
      </c>
      <c r="D32" s="67">
        <v>-225669</v>
      </c>
      <c r="E32" s="7"/>
      <c r="F32" s="36">
        <v>0</v>
      </c>
      <c r="G32" s="7"/>
      <c r="H32" s="36">
        <v>-99293</v>
      </c>
      <c r="I32" s="7"/>
      <c r="J32" s="42">
        <v>0</v>
      </c>
      <c r="K32" s="36"/>
      <c r="L32" s="36"/>
      <c r="N32" s="36"/>
    </row>
    <row r="33" spans="1:18" ht="21.75" customHeight="1" x14ac:dyDescent="0.45">
      <c r="A33" s="145" t="s">
        <v>99</v>
      </c>
      <c r="B33" s="145"/>
      <c r="C33" s="145"/>
      <c r="D33" s="67">
        <v>-2183</v>
      </c>
      <c r="E33" s="7"/>
      <c r="F33" s="36">
        <v>-20590</v>
      </c>
      <c r="G33" s="7"/>
      <c r="H33" s="36">
        <v>-46</v>
      </c>
      <c r="I33" s="7"/>
      <c r="J33" s="42">
        <v>-585</v>
      </c>
      <c r="K33" s="3"/>
      <c r="L33" s="36"/>
      <c r="M33" s="7"/>
      <c r="N33" s="36"/>
      <c r="O33" s="7"/>
      <c r="P33" s="7"/>
    </row>
    <row r="34" spans="1:18" ht="21.75" customHeight="1" x14ac:dyDescent="0.45">
      <c r="A34" s="145" t="s">
        <v>100</v>
      </c>
      <c r="B34" s="145"/>
      <c r="C34" s="145"/>
      <c r="D34" s="67">
        <v>0</v>
      </c>
      <c r="E34" s="7"/>
      <c r="F34" s="156">
        <v>467</v>
      </c>
      <c r="G34" s="156"/>
      <c r="H34" s="36">
        <v>0</v>
      </c>
      <c r="I34" s="156"/>
      <c r="J34" s="157">
        <v>0</v>
      </c>
      <c r="K34" s="36"/>
      <c r="L34" s="36"/>
      <c r="M34" s="7"/>
      <c r="N34" s="36"/>
      <c r="O34" s="7"/>
      <c r="P34" s="7"/>
    </row>
    <row r="35" spans="1:18" ht="22.15" customHeight="1" x14ac:dyDescent="0.45">
      <c r="A35" s="145" t="s">
        <v>117</v>
      </c>
      <c r="B35" s="145"/>
      <c r="C35" s="145"/>
      <c r="D35" s="67">
        <v>-16798</v>
      </c>
      <c r="E35" s="7"/>
      <c r="F35" s="36">
        <v>2547</v>
      </c>
      <c r="G35" s="7"/>
      <c r="H35" s="36">
        <v>0</v>
      </c>
      <c r="I35" s="7"/>
      <c r="J35" s="42">
        <v>0</v>
      </c>
      <c r="K35" s="3"/>
      <c r="L35" s="36"/>
      <c r="M35" s="36"/>
      <c r="N35" s="36"/>
      <c r="O35" s="7"/>
      <c r="P35" s="36"/>
    </row>
    <row r="36" spans="1:18" ht="21.75" customHeight="1" x14ac:dyDescent="0.45">
      <c r="A36" s="145" t="s">
        <v>190</v>
      </c>
      <c r="B36" s="145"/>
      <c r="C36" s="145"/>
      <c r="D36" s="67">
        <v>0</v>
      </c>
      <c r="E36" s="7"/>
      <c r="F36" s="156">
        <v>-502</v>
      </c>
      <c r="G36" s="156"/>
      <c r="H36" s="36">
        <v>0</v>
      </c>
      <c r="I36" s="156"/>
      <c r="J36" s="157">
        <v>-502</v>
      </c>
      <c r="K36" s="3"/>
      <c r="L36" s="36"/>
      <c r="M36" s="36"/>
      <c r="N36" s="36"/>
      <c r="O36" s="7"/>
      <c r="P36" s="36"/>
    </row>
    <row r="37" spans="1:18" ht="21.75" customHeight="1" x14ac:dyDescent="0.45">
      <c r="A37" s="145" t="s">
        <v>136</v>
      </c>
      <c r="B37" s="145"/>
      <c r="C37" s="145"/>
      <c r="D37" s="67">
        <v>22265</v>
      </c>
      <c r="E37" s="7"/>
      <c r="F37" s="36">
        <f>-12183+91754</f>
        <v>79571</v>
      </c>
      <c r="G37" s="7"/>
      <c r="H37" s="36">
        <v>-8147</v>
      </c>
      <c r="I37" s="7"/>
      <c r="J37" s="42">
        <v>16536</v>
      </c>
      <c r="K37" s="3"/>
      <c r="L37" s="36"/>
      <c r="M37" s="36"/>
      <c r="N37" s="36"/>
      <c r="O37" s="7"/>
      <c r="P37" s="36"/>
    </row>
    <row r="38" spans="1:18" ht="21.75" customHeight="1" x14ac:dyDescent="0.45">
      <c r="A38" s="145" t="s">
        <v>111</v>
      </c>
      <c r="B38" s="145"/>
      <c r="C38" s="145"/>
      <c r="D38" s="67">
        <v>-17640</v>
      </c>
      <c r="E38" s="7"/>
      <c r="F38" s="36">
        <v>0</v>
      </c>
      <c r="G38" s="7"/>
      <c r="H38" s="36">
        <v>-3527</v>
      </c>
      <c r="I38" s="7"/>
      <c r="J38" s="42">
        <v>0</v>
      </c>
      <c r="K38" s="3"/>
      <c r="L38" s="36"/>
      <c r="M38" s="36"/>
      <c r="N38" s="36"/>
      <c r="O38" s="7"/>
      <c r="P38" s="36"/>
    </row>
    <row r="39" spans="1:18" s="2" customFormat="1" ht="21.4" customHeight="1" x14ac:dyDescent="0.45">
      <c r="A39" s="45" t="s">
        <v>21</v>
      </c>
      <c r="B39" s="45"/>
      <c r="C39" s="45"/>
      <c r="D39" s="67">
        <v>-7227</v>
      </c>
      <c r="E39" s="7"/>
      <c r="F39" s="156">
        <f>-15747-1</f>
        <v>-15748</v>
      </c>
      <c r="G39" s="156"/>
      <c r="H39" s="156">
        <v>-1771</v>
      </c>
      <c r="I39" s="156"/>
      <c r="J39" s="157">
        <v>-8256</v>
      </c>
      <c r="K39" s="38"/>
      <c r="L39" s="36"/>
      <c r="N39" s="36"/>
      <c r="O39" s="43"/>
      <c r="P39" s="3"/>
      <c r="Q39" s="3"/>
      <c r="R39" s="3"/>
    </row>
    <row r="40" spans="1:18" s="2" customFormat="1" ht="21.75" customHeight="1" x14ac:dyDescent="0.45">
      <c r="A40" s="45" t="s">
        <v>101</v>
      </c>
      <c r="B40" s="45"/>
      <c r="C40" s="45"/>
      <c r="D40" s="79">
        <v>-2140</v>
      </c>
      <c r="E40" s="7"/>
      <c r="F40" s="36">
        <v>5459</v>
      </c>
      <c r="G40" s="7"/>
      <c r="H40" s="50">
        <v>-2140</v>
      </c>
      <c r="I40" s="7"/>
      <c r="J40" s="53">
        <v>150</v>
      </c>
      <c r="O40" s="43"/>
      <c r="P40" s="3"/>
      <c r="Q40" s="3"/>
      <c r="R40" s="3"/>
    </row>
    <row r="41" spans="1:18" ht="21.75" customHeight="1" x14ac:dyDescent="0.45">
      <c r="A41" s="145" t="s">
        <v>194</v>
      </c>
      <c r="B41" s="145"/>
      <c r="C41" s="145"/>
      <c r="D41" s="151">
        <f>SUM(D24:D40)</f>
        <v>150594</v>
      </c>
      <c r="E41" s="43"/>
      <c r="F41" s="151">
        <f>SUM(F24:F40)</f>
        <v>316937</v>
      </c>
      <c r="G41" s="43"/>
      <c r="H41" s="36">
        <f>SUM(H24:H40)</f>
        <v>-99814</v>
      </c>
      <c r="I41" s="43"/>
      <c r="J41" s="36">
        <f>SUM(J24:J40)</f>
        <v>-158261</v>
      </c>
      <c r="L41" s="39"/>
      <c r="N41" s="39"/>
    </row>
    <row r="42" spans="1:18" ht="21.75" customHeight="1" x14ac:dyDescent="0.45">
      <c r="A42" s="145" t="s">
        <v>195</v>
      </c>
      <c r="B42" s="145"/>
      <c r="C42" s="145"/>
      <c r="D42" s="38">
        <v>1652</v>
      </c>
      <c r="E42" s="43"/>
      <c r="F42" s="38">
        <v>8567</v>
      </c>
      <c r="G42" s="43"/>
      <c r="H42" s="36">
        <v>0</v>
      </c>
      <c r="I42" s="43"/>
      <c r="J42" s="36">
        <v>5289</v>
      </c>
      <c r="L42" s="39"/>
      <c r="N42" s="39"/>
    </row>
    <row r="43" spans="1:18" ht="21.75" customHeight="1" x14ac:dyDescent="0.45">
      <c r="A43" s="145" t="s">
        <v>196</v>
      </c>
      <c r="B43" s="145"/>
      <c r="C43" s="145"/>
      <c r="D43" s="36">
        <v>-61288</v>
      </c>
      <c r="E43" s="7"/>
      <c r="F43" s="36">
        <v>-74804</v>
      </c>
      <c r="G43" s="7"/>
      <c r="H43" s="36">
        <v>-11890.328109999999</v>
      </c>
      <c r="I43" s="7"/>
      <c r="J43" s="36">
        <v>-7984</v>
      </c>
      <c r="N43" s="36"/>
    </row>
    <row r="44" spans="1:18" ht="21.75" customHeight="1" x14ac:dyDescent="0.45">
      <c r="A44" s="150" t="s">
        <v>197</v>
      </c>
      <c r="B44" s="150"/>
      <c r="C44" s="150"/>
      <c r="D44" s="152">
        <f>SUM(D41:D43)</f>
        <v>90958</v>
      </c>
      <c r="E44" s="7"/>
      <c r="F44" s="13">
        <f>SUM(F41:F43)</f>
        <v>250700</v>
      </c>
      <c r="G44" s="7"/>
      <c r="H44" s="13">
        <f>SUM(H41:H43)</f>
        <v>-111704.32811</v>
      </c>
      <c r="I44" s="7"/>
      <c r="J44" s="13">
        <f>SUM(J41:J43)</f>
        <v>-160956</v>
      </c>
      <c r="N44" s="36"/>
    </row>
    <row r="45" spans="1:18" ht="21.75" customHeight="1" x14ac:dyDescent="0.5">
      <c r="A45" s="18" t="s">
        <v>82</v>
      </c>
      <c r="B45" s="18"/>
      <c r="C45" s="18"/>
    </row>
    <row r="46" spans="1:18" ht="21.75" customHeight="1" x14ac:dyDescent="0.5">
      <c r="A46" s="18" t="s">
        <v>76</v>
      </c>
      <c r="B46" s="18"/>
      <c r="C46" s="18"/>
      <c r="E46" s="6"/>
      <c r="G46" s="6"/>
    </row>
    <row r="47" spans="1:18" ht="21.75" customHeight="1" x14ac:dyDescent="0.45">
      <c r="A47" s="4"/>
      <c r="B47" s="4"/>
      <c r="C47" s="4"/>
      <c r="D47" s="4"/>
      <c r="E47" s="4"/>
      <c r="F47" s="4"/>
      <c r="G47" s="4"/>
    </row>
    <row r="48" spans="1:18" ht="21.75" customHeight="1" x14ac:dyDescent="0.45">
      <c r="A48" s="22"/>
      <c r="B48" s="22"/>
      <c r="C48" s="22"/>
      <c r="D48" s="179" t="s">
        <v>32</v>
      </c>
      <c r="E48" s="179"/>
      <c r="F48" s="179"/>
      <c r="G48" s="179"/>
      <c r="H48" s="179" t="s">
        <v>46</v>
      </c>
      <c r="I48" s="179"/>
      <c r="J48" s="179"/>
    </row>
    <row r="49" spans="1:15" ht="21.75" customHeight="1" x14ac:dyDescent="0.45">
      <c r="A49" s="22"/>
      <c r="B49" s="22"/>
      <c r="C49" s="22"/>
      <c r="D49" s="180" t="s">
        <v>148</v>
      </c>
      <c r="E49" s="180"/>
      <c r="F49" s="180"/>
      <c r="G49" s="180"/>
      <c r="H49" s="180" t="s">
        <v>148</v>
      </c>
      <c r="I49" s="180"/>
      <c r="J49" s="180"/>
      <c r="K49" s="3"/>
      <c r="L49" s="3"/>
      <c r="M49" s="3"/>
      <c r="N49" s="3"/>
      <c r="O49" s="3"/>
    </row>
    <row r="50" spans="1:15" ht="21.75" customHeight="1" x14ac:dyDescent="0.45">
      <c r="A50" s="22"/>
      <c r="B50" s="22"/>
      <c r="C50" s="22"/>
      <c r="D50" s="180" t="s">
        <v>143</v>
      </c>
      <c r="E50" s="180"/>
      <c r="F50" s="180"/>
      <c r="H50" s="180" t="s">
        <v>143</v>
      </c>
      <c r="I50" s="180"/>
      <c r="J50" s="180"/>
      <c r="K50" s="3"/>
      <c r="L50" s="3"/>
      <c r="M50" s="3"/>
      <c r="N50" s="3"/>
      <c r="O50" s="3"/>
    </row>
    <row r="51" spans="1:15" ht="21.75" customHeight="1" x14ac:dyDescent="0.45">
      <c r="A51" s="16"/>
      <c r="B51" s="177"/>
      <c r="C51" s="16"/>
      <c r="D51" s="23">
        <v>2562</v>
      </c>
      <c r="E51" s="23"/>
      <c r="F51" s="23">
        <v>2561</v>
      </c>
      <c r="G51" s="23"/>
      <c r="H51" s="23">
        <v>2562</v>
      </c>
      <c r="I51" s="23"/>
      <c r="J51" s="23">
        <v>2561</v>
      </c>
    </row>
    <row r="52" spans="1:15" ht="21.75" customHeight="1" x14ac:dyDescent="0.45">
      <c r="D52" s="181" t="s">
        <v>73</v>
      </c>
      <c r="E52" s="181"/>
      <c r="F52" s="181"/>
      <c r="G52" s="181"/>
      <c r="H52" s="181"/>
      <c r="I52" s="181"/>
      <c r="J52" s="181"/>
    </row>
    <row r="53" spans="1:15" ht="21.75" customHeight="1" x14ac:dyDescent="0.45">
      <c r="A53" s="41" t="s">
        <v>22</v>
      </c>
      <c r="B53" s="41"/>
      <c r="C53" s="41"/>
      <c r="D53" s="6"/>
      <c r="E53" s="7"/>
      <c r="F53" s="6"/>
      <c r="G53" s="7"/>
      <c r="H53" s="7"/>
      <c r="I53" s="7"/>
      <c r="J53" s="7"/>
    </row>
    <row r="54" spans="1:15" ht="21.75" customHeight="1" x14ac:dyDescent="0.45">
      <c r="A54" s="145" t="s">
        <v>198</v>
      </c>
      <c r="B54" s="145"/>
      <c r="C54" s="145"/>
      <c r="D54" s="36">
        <v>-1924</v>
      </c>
      <c r="E54" s="28"/>
      <c r="F54" s="36">
        <v>-9196</v>
      </c>
      <c r="G54" s="28"/>
      <c r="H54" s="36">
        <v>-1847</v>
      </c>
      <c r="I54" s="28"/>
      <c r="J54" s="36">
        <v>-3683</v>
      </c>
    </row>
    <row r="55" spans="1:15" ht="21.75" customHeight="1" x14ac:dyDescent="0.45">
      <c r="A55" s="145" t="s">
        <v>199</v>
      </c>
      <c r="B55" s="145"/>
      <c r="C55" s="145"/>
      <c r="D55" s="36">
        <v>4053</v>
      </c>
      <c r="E55" s="28"/>
      <c r="F55" s="36">
        <v>0</v>
      </c>
      <c r="G55" s="28"/>
      <c r="H55" s="36">
        <v>1763</v>
      </c>
      <c r="I55" s="28"/>
      <c r="J55" s="36">
        <v>0</v>
      </c>
    </row>
    <row r="56" spans="1:15" ht="21.75" customHeight="1" x14ac:dyDescent="0.45">
      <c r="A56" s="145" t="s">
        <v>200</v>
      </c>
      <c r="B56" s="145"/>
      <c r="C56" s="145"/>
      <c r="D56" s="36">
        <v>-1699</v>
      </c>
      <c r="E56" s="7"/>
      <c r="F56" s="36">
        <v>-223226</v>
      </c>
      <c r="G56" s="7"/>
      <c r="H56" s="36">
        <v>-7</v>
      </c>
      <c r="I56" s="7"/>
      <c r="J56" s="36">
        <v>-13192</v>
      </c>
    </row>
    <row r="57" spans="1:15" ht="21.75" customHeight="1" x14ac:dyDescent="0.45">
      <c r="A57" s="145" t="s">
        <v>216</v>
      </c>
      <c r="B57" s="145"/>
      <c r="C57" s="145"/>
      <c r="D57" s="36">
        <v>0</v>
      </c>
      <c r="E57" s="7"/>
      <c r="F57" s="36">
        <v>-299</v>
      </c>
      <c r="G57" s="7"/>
      <c r="H57" s="36">
        <v>0</v>
      </c>
      <c r="I57" s="7"/>
      <c r="J57" s="36">
        <v>-299</v>
      </c>
    </row>
    <row r="58" spans="1:15" ht="21.75" customHeight="1" x14ac:dyDescent="0.45">
      <c r="A58" s="3" t="s">
        <v>102</v>
      </c>
      <c r="B58" s="177"/>
      <c r="D58" s="36">
        <v>0</v>
      </c>
      <c r="E58" s="89"/>
      <c r="F58" s="29">
        <v>0</v>
      </c>
      <c r="G58" s="43"/>
      <c r="H58" s="36">
        <v>-191514</v>
      </c>
      <c r="I58" s="7"/>
      <c r="J58" s="42">
        <v>-40000</v>
      </c>
      <c r="K58" s="36"/>
      <c r="M58" s="36"/>
    </row>
    <row r="59" spans="1:15" ht="21.75" customHeight="1" x14ac:dyDescent="0.45">
      <c r="A59" s="3" t="s">
        <v>116</v>
      </c>
      <c r="B59" s="177"/>
      <c r="D59" s="36">
        <v>-2504</v>
      </c>
      <c r="E59" s="89"/>
      <c r="F59" s="42">
        <v>-132000</v>
      </c>
      <c r="G59" s="43"/>
      <c r="H59" s="36">
        <v>-242874</v>
      </c>
      <c r="I59" s="7"/>
      <c r="J59" s="42">
        <v>-132000</v>
      </c>
      <c r="K59" s="36"/>
      <c r="M59" s="36"/>
    </row>
    <row r="60" spans="1:15" ht="21.75" customHeight="1" x14ac:dyDescent="0.45">
      <c r="A60" s="3" t="s">
        <v>103</v>
      </c>
      <c r="D60" s="42">
        <v>0</v>
      </c>
      <c r="E60" s="82"/>
      <c r="F60" s="42">
        <v>41141</v>
      </c>
      <c r="G60" s="82"/>
      <c r="H60" s="42">
        <v>0</v>
      </c>
      <c r="I60" s="28"/>
      <c r="J60" s="42">
        <v>41141</v>
      </c>
      <c r="K60" s="36"/>
      <c r="M60" s="36"/>
    </row>
    <row r="61" spans="1:15" ht="21.75" customHeight="1" x14ac:dyDescent="0.45">
      <c r="A61" s="3" t="s">
        <v>128</v>
      </c>
      <c r="D61" s="42">
        <v>39499</v>
      </c>
      <c r="E61" s="82"/>
      <c r="F61" s="29">
        <v>0</v>
      </c>
      <c r="G61" s="82"/>
      <c r="H61" s="42">
        <v>39499</v>
      </c>
      <c r="I61" s="28"/>
      <c r="J61" s="29">
        <v>0</v>
      </c>
      <c r="K61" s="36"/>
      <c r="L61" s="10">
        <v>50979.941320000042</v>
      </c>
      <c r="M61" s="36">
        <f>D62-L61</f>
        <v>5.8679999958258122E-2</v>
      </c>
    </row>
    <row r="62" spans="1:15" ht="21.75" customHeight="1" x14ac:dyDescent="0.45">
      <c r="A62" s="3" t="s">
        <v>83</v>
      </c>
      <c r="D62" s="42">
        <f>327529-327099+50550</f>
        <v>50980</v>
      </c>
      <c r="E62" s="82"/>
      <c r="F62" s="26">
        <f>132976-49757+49757</f>
        <v>132976</v>
      </c>
      <c r="G62" s="82"/>
      <c r="H62" s="42">
        <v>318202</v>
      </c>
      <c r="I62" s="28"/>
      <c r="J62" s="42">
        <f>105289</f>
        <v>105289</v>
      </c>
      <c r="K62" s="36"/>
      <c r="L62" s="10">
        <v>429.98726000008173</v>
      </c>
      <c r="M62" s="36">
        <f>D62-L62</f>
        <v>50550.012739999918</v>
      </c>
      <c r="N62" s="10">
        <v>-327099</v>
      </c>
    </row>
    <row r="63" spans="1:15" ht="21.75" customHeight="1" x14ac:dyDescent="0.45">
      <c r="A63" s="150" t="s">
        <v>201</v>
      </c>
      <c r="B63" s="150"/>
      <c r="C63" s="150"/>
      <c r="D63" s="152">
        <f>SUM(D54:D62)</f>
        <v>88405</v>
      </c>
      <c r="E63" s="7"/>
      <c r="F63" s="13">
        <f>SUM(F54:F62)</f>
        <v>-190604</v>
      </c>
      <c r="G63" s="7"/>
      <c r="H63" s="121">
        <f>SUM(H54:H62)</f>
        <v>-76778</v>
      </c>
      <c r="I63" s="7"/>
      <c r="J63" s="13">
        <f>SUM(J54:J62)</f>
        <v>-42744</v>
      </c>
      <c r="K63" s="72"/>
      <c r="M63" s="36"/>
    </row>
    <row r="64" spans="1:15" ht="21.75" customHeight="1" x14ac:dyDescent="0.45">
      <c r="A64" s="150"/>
      <c r="B64" s="150"/>
      <c r="C64" s="150"/>
      <c r="D64" s="44"/>
      <c r="E64" s="7"/>
      <c r="G64" s="7"/>
      <c r="H64" s="7"/>
      <c r="I64" s="7"/>
      <c r="J64" s="7"/>
    </row>
    <row r="65" spans="1:18" ht="21.75" customHeight="1" x14ac:dyDescent="0.45">
      <c r="A65" s="41" t="s">
        <v>23</v>
      </c>
      <c r="B65" s="41"/>
      <c r="C65" s="41"/>
      <c r="D65" s="44"/>
      <c r="E65" s="7"/>
      <c r="G65" s="7"/>
      <c r="H65" s="7"/>
      <c r="I65" s="7"/>
      <c r="J65" s="7"/>
    </row>
    <row r="66" spans="1:18" ht="21.75" customHeight="1" x14ac:dyDescent="0.45">
      <c r="A66" s="145" t="s">
        <v>224</v>
      </c>
      <c r="B66" s="41"/>
      <c r="C66" s="41"/>
      <c r="D66" s="44">
        <v>8723</v>
      </c>
      <c r="E66" s="7"/>
      <c r="F66" s="42">
        <v>0</v>
      </c>
      <c r="G66" s="7"/>
      <c r="H66" s="7">
        <v>1021</v>
      </c>
      <c r="I66" s="7"/>
      <c r="J66" s="42">
        <v>0</v>
      </c>
    </row>
    <row r="67" spans="1:18" ht="21.75" customHeight="1" x14ac:dyDescent="0.45">
      <c r="A67" s="145" t="s">
        <v>202</v>
      </c>
      <c r="B67" s="177"/>
      <c r="C67" s="145"/>
      <c r="D67" s="120">
        <v>0</v>
      </c>
      <c r="E67" s="36"/>
      <c r="F67" s="42">
        <v>0</v>
      </c>
      <c r="G67" s="36"/>
      <c r="H67" s="120">
        <v>676406</v>
      </c>
      <c r="I67" s="36"/>
      <c r="J67" s="42">
        <v>40000</v>
      </c>
      <c r="K67" s="36"/>
      <c r="M67" s="36"/>
    </row>
    <row r="68" spans="1:18" s="10" customFormat="1" ht="21.75" customHeight="1" x14ac:dyDescent="0.45">
      <c r="A68" s="153" t="s">
        <v>203</v>
      </c>
      <c r="B68" s="177"/>
      <c r="C68" s="153"/>
      <c r="D68" s="120">
        <v>0</v>
      </c>
      <c r="E68" s="36"/>
      <c r="F68" s="42">
        <v>0</v>
      </c>
      <c r="G68" s="36"/>
      <c r="H68" s="120">
        <v>-644938</v>
      </c>
      <c r="I68" s="36"/>
      <c r="J68" s="42">
        <v>0</v>
      </c>
      <c r="K68" s="36"/>
      <c r="M68" s="36"/>
      <c r="P68" s="3"/>
      <c r="Q68" s="3"/>
      <c r="R68" s="3"/>
    </row>
    <row r="69" spans="1:18" s="10" customFormat="1" ht="21.75" customHeight="1" x14ac:dyDescent="0.45">
      <c r="A69" s="3" t="s">
        <v>204</v>
      </c>
      <c r="B69" s="3"/>
      <c r="C69" s="3"/>
      <c r="D69" s="42">
        <v>1570000</v>
      </c>
      <c r="E69" s="36"/>
      <c r="F69" s="42">
        <v>500000</v>
      </c>
      <c r="G69" s="36"/>
      <c r="H69" s="42">
        <v>1570000</v>
      </c>
      <c r="I69" s="36"/>
      <c r="J69" s="42">
        <v>500000</v>
      </c>
      <c r="K69" s="72"/>
      <c r="M69" s="36"/>
      <c r="P69" s="3"/>
      <c r="Q69" s="3"/>
      <c r="R69" s="3"/>
    </row>
    <row r="70" spans="1:18" s="10" customFormat="1" ht="21.75" customHeight="1" x14ac:dyDescent="0.45">
      <c r="A70" s="3" t="s">
        <v>205</v>
      </c>
      <c r="B70" s="3"/>
      <c r="C70" s="3"/>
      <c r="D70" s="120">
        <v>-1130000</v>
      </c>
      <c r="E70" s="36"/>
      <c r="F70" s="42">
        <v>0</v>
      </c>
      <c r="G70" s="36"/>
      <c r="H70" s="120">
        <v>-1130000</v>
      </c>
      <c r="I70" s="36"/>
      <c r="J70" s="42">
        <v>0</v>
      </c>
      <c r="K70" s="72"/>
      <c r="M70" s="36"/>
      <c r="P70" s="3"/>
      <c r="Q70" s="3"/>
      <c r="R70" s="3"/>
    </row>
    <row r="71" spans="1:18" s="10" customFormat="1" ht="21.75" customHeight="1" x14ac:dyDescent="0.45">
      <c r="A71" s="3" t="s">
        <v>206</v>
      </c>
      <c r="B71" s="3"/>
      <c r="C71" s="3"/>
      <c r="D71" s="120">
        <v>0</v>
      </c>
      <c r="E71" s="36"/>
      <c r="F71" s="42">
        <v>36100</v>
      </c>
      <c r="G71" s="36"/>
      <c r="H71" s="120">
        <v>0</v>
      </c>
      <c r="I71" s="36"/>
      <c r="J71" s="42">
        <v>0</v>
      </c>
      <c r="K71" s="70"/>
      <c r="M71" s="36"/>
      <c r="P71" s="3"/>
      <c r="Q71" s="3"/>
      <c r="R71" s="3"/>
    </row>
    <row r="72" spans="1:18" s="10" customFormat="1" ht="21.75" customHeight="1" x14ac:dyDescent="0.45">
      <c r="A72" s="3" t="s">
        <v>207</v>
      </c>
      <c r="B72" s="3"/>
      <c r="C72" s="3"/>
      <c r="D72" s="42">
        <v>-513007</v>
      </c>
      <c r="E72" s="36"/>
      <c r="F72" s="42">
        <v>-315035</v>
      </c>
      <c r="G72" s="36"/>
      <c r="H72" s="120">
        <v>0</v>
      </c>
      <c r="I72" s="36"/>
      <c r="J72" s="42">
        <v>0</v>
      </c>
      <c r="K72" s="70"/>
      <c r="M72" s="36"/>
      <c r="P72" s="3"/>
      <c r="Q72" s="3"/>
      <c r="R72" s="3"/>
    </row>
    <row r="73" spans="1:18" s="10" customFormat="1" ht="21.75" customHeight="1" x14ac:dyDescent="0.45">
      <c r="A73" s="3" t="s">
        <v>208</v>
      </c>
      <c r="B73" s="3"/>
      <c r="C73" s="3"/>
      <c r="D73" s="42">
        <v>0</v>
      </c>
      <c r="E73" s="36"/>
      <c r="F73" s="42">
        <v>1146325</v>
      </c>
      <c r="G73" s="36"/>
      <c r="H73" s="120">
        <v>0</v>
      </c>
      <c r="I73" s="36"/>
      <c r="J73" s="42">
        <v>1146325</v>
      </c>
      <c r="K73" s="70"/>
      <c r="M73" s="36"/>
      <c r="P73" s="3"/>
      <c r="Q73" s="3"/>
      <c r="R73" s="3"/>
    </row>
    <row r="74" spans="1:18" s="10" customFormat="1" ht="21.75" customHeight="1" x14ac:dyDescent="0.45">
      <c r="A74" s="3" t="s">
        <v>209</v>
      </c>
      <c r="B74" s="3"/>
      <c r="C74" s="3"/>
      <c r="D74" s="42">
        <v>0</v>
      </c>
      <c r="E74" s="36"/>
      <c r="F74" s="42">
        <v>-1300000</v>
      </c>
      <c r="G74" s="36"/>
      <c r="H74" s="120">
        <v>0</v>
      </c>
      <c r="I74" s="36"/>
      <c r="J74" s="42">
        <v>-1300000</v>
      </c>
      <c r="K74" s="70"/>
      <c r="M74" s="36"/>
      <c r="P74" s="3"/>
      <c r="Q74" s="3"/>
      <c r="R74" s="3"/>
    </row>
    <row r="75" spans="1:18" s="10" customFormat="1" ht="21.75" customHeight="1" x14ac:dyDescent="0.45">
      <c r="A75" s="3" t="s">
        <v>151</v>
      </c>
      <c r="B75" s="3"/>
      <c r="C75" s="3"/>
      <c r="D75" s="42">
        <v>0</v>
      </c>
      <c r="E75" s="36"/>
      <c r="F75" s="42">
        <v>548381</v>
      </c>
      <c r="G75" s="36"/>
      <c r="H75" s="120">
        <v>0</v>
      </c>
      <c r="I75" s="36"/>
      <c r="J75" s="42">
        <v>548381</v>
      </c>
      <c r="K75" s="70"/>
      <c r="M75" s="36"/>
      <c r="P75" s="3"/>
      <c r="Q75" s="3"/>
      <c r="R75" s="3"/>
    </row>
    <row r="76" spans="1:18" s="10" customFormat="1" ht="21.75" customHeight="1" x14ac:dyDescent="0.45">
      <c r="A76" s="3" t="s">
        <v>210</v>
      </c>
      <c r="B76" s="3"/>
      <c r="C76" s="3"/>
      <c r="D76" s="42">
        <v>0</v>
      </c>
      <c r="E76" s="36"/>
      <c r="F76" s="42">
        <v>-595140</v>
      </c>
      <c r="G76" s="36"/>
      <c r="H76" s="120">
        <v>0</v>
      </c>
      <c r="I76" s="36"/>
      <c r="J76" s="42">
        <v>-595140</v>
      </c>
      <c r="K76" s="70"/>
      <c r="M76" s="36"/>
      <c r="P76" s="3"/>
      <c r="Q76" s="3"/>
      <c r="R76" s="3"/>
    </row>
    <row r="77" spans="1:18" s="10" customFormat="1" ht="21.75" customHeight="1" x14ac:dyDescent="0.45">
      <c r="A77" s="145" t="s">
        <v>211</v>
      </c>
      <c r="B77" s="145"/>
      <c r="C77" s="145"/>
      <c r="D77" s="36">
        <f>-192961+79909-50550</f>
        <v>-163602</v>
      </c>
      <c r="E77" s="36"/>
      <c r="F77" s="36">
        <v>-337860</v>
      </c>
      <c r="G77" s="36"/>
      <c r="H77" s="36">
        <v>-234740</v>
      </c>
      <c r="I77" s="36"/>
      <c r="J77" s="36">
        <f>-269314+49757</f>
        <v>-219557</v>
      </c>
      <c r="K77" s="70"/>
      <c r="L77" s="36">
        <v>-113051.57905438347</v>
      </c>
      <c r="M77" s="36">
        <f>D77-L77</f>
        <v>-50550.420945616526</v>
      </c>
      <c r="P77" s="3"/>
      <c r="Q77" s="3"/>
      <c r="R77" s="3"/>
    </row>
    <row r="78" spans="1:18" s="10" customFormat="1" ht="21.75" customHeight="1" x14ac:dyDescent="0.45">
      <c r="A78" s="150" t="s">
        <v>212</v>
      </c>
      <c r="B78" s="150"/>
      <c r="C78" s="150"/>
      <c r="D78" s="152">
        <f>SUM(D66:D77)</f>
        <v>-227886</v>
      </c>
      <c r="E78" s="7"/>
      <c r="F78" s="13">
        <f>SUM(F66:F77)</f>
        <v>-317229</v>
      </c>
      <c r="G78" s="7"/>
      <c r="H78" s="13">
        <f>SUM(H66:H77)</f>
        <v>237749</v>
      </c>
      <c r="I78" s="7"/>
      <c r="J78" s="13">
        <f>SUM(J66:J77)</f>
        <v>120009</v>
      </c>
      <c r="M78" s="36"/>
      <c r="P78" s="3"/>
      <c r="Q78" s="3"/>
      <c r="R78" s="3"/>
    </row>
    <row r="79" spans="1:18" s="10" customFormat="1" ht="21.75" customHeight="1" x14ac:dyDescent="0.45">
      <c r="A79" s="16"/>
      <c r="B79" s="16"/>
      <c r="C79" s="16"/>
      <c r="D79" s="67"/>
      <c r="E79" s="7"/>
      <c r="F79" s="43"/>
      <c r="G79" s="7"/>
      <c r="H79" s="28"/>
      <c r="I79" s="7"/>
      <c r="J79" s="28"/>
      <c r="P79" s="3"/>
      <c r="Q79" s="3"/>
      <c r="R79" s="3"/>
    </row>
    <row r="80" spans="1:18" s="10" customFormat="1" ht="21.75" customHeight="1" x14ac:dyDescent="0.45">
      <c r="A80" s="150" t="s">
        <v>127</v>
      </c>
      <c r="B80" s="150"/>
      <c r="C80" s="150"/>
      <c r="D80" s="68">
        <f>+D44+D63+D78</f>
        <v>-48523</v>
      </c>
      <c r="E80" s="12"/>
      <c r="F80" s="12">
        <f>+F44+F63+F78</f>
        <v>-257133</v>
      </c>
      <c r="G80" s="12"/>
      <c r="H80" s="122">
        <f>+H44+H63+H78</f>
        <v>49266.671889999998</v>
      </c>
      <c r="I80" s="12"/>
      <c r="J80" s="122">
        <f>+J44+J63+J78</f>
        <v>-83691</v>
      </c>
      <c r="P80" s="3"/>
      <c r="Q80" s="3"/>
      <c r="R80" s="3"/>
    </row>
    <row r="81" spans="1:18" s="10" customFormat="1" ht="21.75" customHeight="1" x14ac:dyDescent="0.45">
      <c r="A81" s="145" t="s">
        <v>213</v>
      </c>
      <c r="B81" s="145"/>
      <c r="C81" s="145"/>
      <c r="D81" s="79">
        <v>178368</v>
      </c>
      <c r="E81" s="43"/>
      <c r="F81" s="71">
        <v>493764</v>
      </c>
      <c r="G81" s="43"/>
      <c r="H81" s="75">
        <v>47643</v>
      </c>
      <c r="I81" s="43"/>
      <c r="J81" s="75">
        <v>146724</v>
      </c>
      <c r="P81" s="3"/>
      <c r="Q81" s="3"/>
      <c r="R81" s="3"/>
    </row>
    <row r="82" spans="1:18" s="10" customFormat="1" ht="21.75" customHeight="1" thickBot="1" x14ac:dyDescent="0.5">
      <c r="A82" s="150" t="s">
        <v>218</v>
      </c>
      <c r="B82" s="150"/>
      <c r="C82" s="150"/>
      <c r="D82" s="154">
        <f>SUM(D80:D81)</f>
        <v>129845</v>
      </c>
      <c r="E82" s="24"/>
      <c r="F82" s="14">
        <f>SUM(F80:F81)</f>
        <v>236631</v>
      </c>
      <c r="G82" s="24"/>
      <c r="H82" s="142">
        <f>SUM(H80:H81)</f>
        <v>96909.671889999998</v>
      </c>
      <c r="I82" s="24"/>
      <c r="J82" s="142">
        <f>SUM(J80:J81)</f>
        <v>63033</v>
      </c>
      <c r="P82" s="3"/>
      <c r="Q82" s="3"/>
      <c r="R82" s="3"/>
    </row>
    <row r="83" spans="1:18" s="10" customFormat="1" ht="21.75" customHeight="1" thickTop="1" x14ac:dyDescent="0.45">
      <c r="A83" s="150"/>
      <c r="B83" s="150"/>
      <c r="C83" s="150"/>
      <c r="D83" s="12"/>
      <c r="E83" s="24"/>
      <c r="F83" s="12"/>
      <c r="G83" s="24"/>
      <c r="H83" s="12"/>
      <c r="I83" s="24"/>
      <c r="J83" s="12"/>
      <c r="P83" s="3"/>
      <c r="Q83" s="3"/>
      <c r="R83" s="3"/>
    </row>
    <row r="84" spans="1:18" s="10" customFormat="1" ht="21.75" customHeight="1" x14ac:dyDescent="0.45">
      <c r="A84" s="41" t="s">
        <v>77</v>
      </c>
      <c r="B84" s="41"/>
      <c r="C84" s="41"/>
      <c r="D84" s="3"/>
      <c r="E84" s="3"/>
      <c r="F84" s="3"/>
      <c r="G84" s="3"/>
      <c r="H84" s="3"/>
      <c r="I84" s="24"/>
      <c r="J84" s="3"/>
      <c r="P84" s="3"/>
      <c r="Q84" s="3"/>
      <c r="R84" s="3"/>
    </row>
    <row r="85" spans="1:18" s="10" customFormat="1" ht="21.75" customHeight="1" x14ac:dyDescent="0.45">
      <c r="A85" s="145" t="s">
        <v>214</v>
      </c>
      <c r="B85" s="145"/>
      <c r="C85" s="145"/>
      <c r="D85" s="76">
        <v>0</v>
      </c>
      <c r="E85" s="24"/>
      <c r="F85" s="76">
        <v>0</v>
      </c>
      <c r="G85" s="24"/>
      <c r="H85" s="11">
        <v>33943</v>
      </c>
      <c r="I85" s="24"/>
      <c r="J85" s="11">
        <v>31722</v>
      </c>
      <c r="P85" s="3"/>
      <c r="Q85" s="3"/>
      <c r="R85" s="3"/>
    </row>
    <row r="86" spans="1:18" s="10" customFormat="1" ht="21.75" customHeight="1" x14ac:dyDescent="0.45">
      <c r="A86" s="145" t="s">
        <v>217</v>
      </c>
      <c r="B86" s="145"/>
      <c r="C86" s="145"/>
      <c r="D86" s="76"/>
      <c r="E86" s="24"/>
      <c r="F86" s="76"/>
      <c r="G86" s="24"/>
      <c r="H86" s="11"/>
      <c r="I86" s="24"/>
      <c r="J86" s="11"/>
      <c r="P86" s="3"/>
      <c r="Q86" s="3"/>
      <c r="R86" s="3"/>
    </row>
    <row r="87" spans="1:18" s="10" customFormat="1" ht="21.75" customHeight="1" x14ac:dyDescent="0.45">
      <c r="A87" s="145" t="s">
        <v>145</v>
      </c>
      <c r="B87" s="145"/>
      <c r="C87" s="145"/>
      <c r="D87" s="76">
        <v>0</v>
      </c>
      <c r="E87" s="24"/>
      <c r="F87" s="76">
        <v>0</v>
      </c>
      <c r="G87" s="24"/>
      <c r="H87" s="76">
        <v>0</v>
      </c>
      <c r="I87" s="24"/>
      <c r="J87" s="11">
        <v>7485</v>
      </c>
      <c r="P87" s="3"/>
      <c r="Q87" s="3"/>
      <c r="R87" s="3"/>
    </row>
    <row r="88" spans="1:18" s="10" customFormat="1" ht="21.75" customHeight="1" x14ac:dyDescent="0.45">
      <c r="A88" s="145" t="s">
        <v>152</v>
      </c>
      <c r="B88" s="145"/>
      <c r="C88" s="145"/>
      <c r="D88" s="76">
        <v>0</v>
      </c>
      <c r="E88" s="24"/>
      <c r="F88" s="82">
        <v>7485</v>
      </c>
      <c r="G88" s="24"/>
      <c r="H88" s="76">
        <v>0</v>
      </c>
      <c r="I88" s="24"/>
      <c r="J88" s="76">
        <v>0</v>
      </c>
      <c r="P88" s="3"/>
      <c r="Q88" s="3"/>
      <c r="R88" s="3"/>
    </row>
    <row r="89" spans="1:18" s="10" customFormat="1" ht="21.75" customHeight="1" x14ac:dyDescent="0.45">
      <c r="A89" s="145"/>
      <c r="B89" s="145"/>
      <c r="C89" s="145"/>
      <c r="D89" s="76"/>
      <c r="E89" s="24"/>
      <c r="F89" s="76"/>
      <c r="G89" s="24"/>
      <c r="H89" s="11"/>
      <c r="I89" s="24"/>
      <c r="J89" s="11"/>
      <c r="P89" s="3"/>
      <c r="Q89" s="3"/>
      <c r="R89" s="3"/>
    </row>
    <row r="90" spans="1:18" s="10" customFormat="1" ht="21.75" customHeight="1" x14ac:dyDescent="0.45">
      <c r="A90" s="3"/>
      <c r="B90" s="3"/>
      <c r="C90" s="3"/>
      <c r="D90" s="38">
        <f>D82-'BS3'!C10</f>
        <v>0</v>
      </c>
      <c r="E90" s="38"/>
      <c r="F90" s="38">
        <f>236631-F82</f>
        <v>0</v>
      </c>
      <c r="G90" s="38"/>
      <c r="H90" s="38">
        <f>H82-'BS3'!G10</f>
        <v>-0.32811000000219792</v>
      </c>
      <c r="I90" s="38"/>
      <c r="J90" s="38">
        <f>63033-J82</f>
        <v>0</v>
      </c>
      <c r="P90" s="3"/>
      <c r="Q90" s="3"/>
      <c r="R90" s="3"/>
    </row>
    <row r="91" spans="1:18" s="10" customFormat="1" ht="21.75" customHeight="1" x14ac:dyDescent="0.45">
      <c r="A91" s="3"/>
      <c r="B91" s="3"/>
      <c r="C91" s="3"/>
      <c r="D91" s="2"/>
      <c r="E91" s="2"/>
      <c r="F91" s="2"/>
      <c r="G91" s="2"/>
      <c r="H91" s="2"/>
      <c r="I91" s="2"/>
      <c r="J91" s="2"/>
      <c r="P91" s="3"/>
      <c r="Q91" s="3"/>
      <c r="R91" s="3"/>
    </row>
    <row r="92" spans="1:18" s="10" customFormat="1" ht="21.75" customHeight="1" x14ac:dyDescent="0.45">
      <c r="A92" s="3"/>
      <c r="B92" s="3"/>
      <c r="C92" s="3"/>
      <c r="D92" s="155"/>
      <c r="E92" s="24"/>
      <c r="F92" s="155"/>
      <c r="G92" s="24"/>
      <c r="H92" s="155"/>
      <c r="I92" s="2"/>
      <c r="J92" s="155"/>
      <c r="P92" s="3"/>
      <c r="Q92" s="3"/>
      <c r="R92" s="3"/>
    </row>
    <row r="93" spans="1:18" s="10" customFormat="1" ht="21.75" customHeight="1" x14ac:dyDescent="0.45">
      <c r="A93" s="3"/>
      <c r="B93" s="3"/>
      <c r="C93" s="3"/>
      <c r="D93" s="3"/>
      <c r="E93" s="3"/>
      <c r="F93" s="3"/>
      <c r="G93" s="3"/>
      <c r="H93" s="3"/>
      <c r="I93" s="3"/>
      <c r="J93" s="3"/>
      <c r="P93" s="3"/>
      <c r="Q93" s="3"/>
      <c r="R93" s="3"/>
    </row>
    <row r="94" spans="1:18" s="10" customFormat="1" ht="21.75" customHeight="1" x14ac:dyDescent="0.45">
      <c r="A94" s="3"/>
      <c r="B94" s="3"/>
      <c r="C94" s="3"/>
      <c r="D94" s="3"/>
      <c r="E94" s="3"/>
      <c r="F94" s="3"/>
      <c r="G94" s="3"/>
      <c r="H94" s="3"/>
      <c r="I94" s="3"/>
      <c r="J94" s="3"/>
      <c r="P94" s="3"/>
      <c r="Q94" s="3"/>
      <c r="R94" s="3"/>
    </row>
    <row r="95" spans="1:18" s="10" customFormat="1" ht="21.75" customHeight="1" x14ac:dyDescent="0.45">
      <c r="A95" s="3"/>
      <c r="B95" s="3"/>
      <c r="C95" s="3"/>
      <c r="D95" s="3"/>
      <c r="E95" s="3"/>
      <c r="F95" s="3"/>
      <c r="G95" s="3"/>
      <c r="H95" s="3"/>
      <c r="I95" s="3"/>
      <c r="J95" s="3"/>
      <c r="P95" s="3"/>
      <c r="Q95" s="3"/>
      <c r="R95" s="3"/>
    </row>
    <row r="96" spans="1:18" s="10" customFormat="1" ht="21.75" customHeight="1" x14ac:dyDescent="0.45">
      <c r="A96" s="3"/>
      <c r="B96" s="3"/>
      <c r="C96" s="3"/>
      <c r="D96" s="3"/>
      <c r="E96" s="3"/>
      <c r="F96" s="3"/>
      <c r="G96" s="3"/>
      <c r="H96" s="3"/>
      <c r="I96" s="3"/>
      <c r="J96" s="3"/>
      <c r="P96" s="3"/>
      <c r="Q96" s="3"/>
      <c r="R96" s="3"/>
    </row>
    <row r="97" spans="1:18" s="10" customFormat="1" ht="21.75" customHeight="1" x14ac:dyDescent="0.45">
      <c r="A97" s="3"/>
      <c r="B97" s="3"/>
      <c r="C97" s="3"/>
      <c r="D97" s="3"/>
      <c r="E97" s="3"/>
      <c r="F97" s="3"/>
      <c r="G97" s="3"/>
      <c r="H97" s="3"/>
      <c r="I97" s="3"/>
      <c r="J97" s="3"/>
      <c r="P97" s="3"/>
      <c r="Q97" s="3"/>
      <c r="R97" s="3"/>
    </row>
    <row r="98" spans="1:18" s="10" customFormat="1" ht="21.75" customHeight="1" x14ac:dyDescent="0.45">
      <c r="A98" s="3"/>
      <c r="B98" s="3"/>
      <c r="C98" s="3"/>
      <c r="D98" s="3"/>
      <c r="E98" s="3"/>
      <c r="F98" s="3"/>
      <c r="G98" s="3"/>
      <c r="H98" s="3"/>
      <c r="I98" s="3"/>
      <c r="J98" s="3"/>
      <c r="P98" s="3"/>
      <c r="Q98" s="3"/>
      <c r="R98" s="3"/>
    </row>
    <row r="99" spans="1:18" s="10" customFormat="1" ht="21.75" customHeight="1" x14ac:dyDescent="0.45">
      <c r="A99" s="3"/>
      <c r="B99" s="3"/>
      <c r="C99" s="3"/>
      <c r="D99" s="3"/>
      <c r="E99" s="3"/>
      <c r="F99" s="3"/>
      <c r="G99" s="3"/>
      <c r="H99" s="3"/>
      <c r="I99" s="3"/>
      <c r="J99" s="3"/>
      <c r="P99" s="3"/>
      <c r="Q99" s="3"/>
      <c r="R99" s="3"/>
    </row>
    <row r="100" spans="1:18" s="10" customFormat="1" ht="21.75" customHeight="1" x14ac:dyDescent="0.45">
      <c r="A100" s="3"/>
      <c r="B100" s="3"/>
      <c r="C100" s="3"/>
      <c r="D100" s="3"/>
      <c r="E100" s="3"/>
      <c r="F100" s="3"/>
      <c r="G100" s="3"/>
      <c r="H100" s="3"/>
      <c r="I100" s="3"/>
      <c r="J100" s="3"/>
      <c r="P100" s="3"/>
      <c r="Q100" s="3"/>
      <c r="R100" s="3"/>
    </row>
    <row r="101" spans="1:18" s="10" customFormat="1" ht="21.75" customHeight="1" x14ac:dyDescent="0.45">
      <c r="A101" s="3"/>
      <c r="B101" s="3"/>
      <c r="C101" s="3"/>
      <c r="D101" s="3"/>
      <c r="E101" s="3"/>
      <c r="F101" s="3"/>
      <c r="G101" s="3"/>
      <c r="H101" s="3"/>
      <c r="I101" s="3"/>
      <c r="J101" s="3"/>
      <c r="P101" s="3"/>
      <c r="Q101" s="3"/>
      <c r="R101" s="3"/>
    </row>
    <row r="102" spans="1:18" s="10" customFormat="1" ht="21.75" customHeight="1" x14ac:dyDescent="0.45">
      <c r="A102" s="3"/>
      <c r="B102" s="3"/>
      <c r="C102" s="3"/>
      <c r="D102" s="3"/>
      <c r="E102" s="3"/>
      <c r="F102" s="3"/>
      <c r="G102" s="3"/>
      <c r="H102" s="3"/>
      <c r="I102" s="3"/>
      <c r="J102" s="3"/>
      <c r="P102" s="3"/>
      <c r="Q102" s="3"/>
      <c r="R102" s="3"/>
    </row>
    <row r="103" spans="1:18" s="10" customFormat="1" ht="21.75" customHeight="1" x14ac:dyDescent="0.45">
      <c r="A103" s="3"/>
      <c r="B103" s="3"/>
      <c r="C103" s="3"/>
      <c r="D103" s="3"/>
      <c r="E103" s="3"/>
      <c r="F103" s="3"/>
      <c r="G103" s="3"/>
      <c r="H103" s="3"/>
      <c r="I103" s="3"/>
      <c r="J103" s="3"/>
      <c r="P103" s="3"/>
      <c r="Q103" s="3"/>
      <c r="R103" s="3"/>
    </row>
    <row r="104" spans="1:18" ht="21.75" customHeight="1" x14ac:dyDescent="0.45"/>
    <row r="105" spans="1:18" ht="21.75" customHeight="1" x14ac:dyDescent="0.45"/>
    <row r="106" spans="1:18" ht="21.75" customHeight="1" x14ac:dyDescent="0.45"/>
    <row r="107" spans="1:18" ht="21.75" customHeight="1" x14ac:dyDescent="0.45"/>
    <row r="108" spans="1:18" ht="21.75" customHeight="1" x14ac:dyDescent="0.45"/>
    <row r="109" spans="1:18" ht="21.75" customHeight="1" x14ac:dyDescent="0.45"/>
    <row r="110" spans="1:18" ht="21.75" customHeight="1" x14ac:dyDescent="0.45"/>
    <row r="111" spans="1:18" ht="21.75" customHeight="1" x14ac:dyDescent="0.45"/>
    <row r="112" spans="1:18" ht="21.75" customHeight="1" x14ac:dyDescent="0.45"/>
    <row r="113" ht="21.75" customHeight="1" x14ac:dyDescent="0.45"/>
    <row r="114" ht="21.75" customHeight="1" x14ac:dyDescent="0.45"/>
  </sheetData>
  <mergeCells count="14">
    <mergeCell ref="D3:G3"/>
    <mergeCell ref="H3:J3"/>
    <mergeCell ref="D4:G4"/>
    <mergeCell ref="H4:J4"/>
    <mergeCell ref="D5:F5"/>
    <mergeCell ref="H5:J5"/>
    <mergeCell ref="D52:J52"/>
    <mergeCell ref="D7:J7"/>
    <mergeCell ref="D48:G48"/>
    <mergeCell ref="H48:J48"/>
    <mergeCell ref="D49:G49"/>
    <mergeCell ref="H49:J49"/>
    <mergeCell ref="D50:F50"/>
    <mergeCell ref="H50:J50"/>
  </mergeCells>
  <pageMargins left="0.8" right="0.7" top="0.48" bottom="0.5" header="0.5" footer="0.5"/>
  <pageSetup paperSize="9" scale="73" firstPageNumber="14" orientation="portrait" useFirstPageNumber="1" r:id="rId1"/>
  <headerFooter alignWithMargins="0">
    <oddFooter xml:space="preserve">&amp;L&amp;15  หมายเหตุประกอบงบการเงินเป็นส่วนหนึ่งของงบการเงินระหว่างกาลนี้
&amp;C&amp;15
&amp;P&amp;R&amp;"Angsana New,Italic"&amp;15
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BS3</vt:lpstr>
      <vt:lpstr>PL9</vt:lpstr>
      <vt:lpstr>SH-10</vt:lpstr>
      <vt:lpstr>SH-11</vt:lpstr>
      <vt:lpstr>SH-12</vt:lpstr>
      <vt:lpstr>SH-13</vt:lpstr>
      <vt:lpstr>CF14</vt:lpstr>
      <vt:lpstr>'BS3'!Print_Area</vt:lpstr>
      <vt:lpstr>'CF14'!Print_Area</vt:lpstr>
      <vt:lpstr>'PL9'!Print_Area</vt:lpstr>
      <vt:lpstr>'SH-10'!Print_Area</vt:lpstr>
      <vt:lpstr>'SH-11'!Print_Area</vt:lpstr>
      <vt:lpstr>'SH-12'!Print_Area</vt:lpstr>
      <vt:lpstr>'SH-13'!Print_Area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Saisamorn, Chimyoo</cp:lastModifiedBy>
  <cp:lastPrinted>2019-11-04T15:00:58Z</cp:lastPrinted>
  <dcterms:created xsi:type="dcterms:W3CDTF">2005-04-19T13:30:30Z</dcterms:created>
  <dcterms:modified xsi:type="dcterms:W3CDTF">2019-11-04T15:01:57Z</dcterms:modified>
</cp:coreProperties>
</file>