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sunlakawit\Desktop\GLAND\05 Q2\Draft FS\SET file\"/>
    </mc:Choice>
  </mc:AlternateContent>
  <xr:revisionPtr revIDLastSave="0" documentId="13_ncr:1_{AC7ED2F0-38C0-4F49-98B2-877ECA1FDFD3}" xr6:coauthVersionLast="36" xr6:coauthVersionMax="36" xr10:uidLastSave="{00000000-0000-0000-0000-000000000000}"/>
  <bookViews>
    <workbookView xWindow="0" yWindow="0" windowWidth="20490" windowHeight="7545" tabRatio="866" xr2:uid="{00000000-000D-0000-FFFF-FFFF00000000}"/>
  </bookViews>
  <sheets>
    <sheet name="BS3" sheetId="1" r:id="rId1"/>
    <sheet name="PL6" sheetId="9" r:id="rId2"/>
    <sheet name="SH-10" sheetId="7" r:id="rId3"/>
    <sheet name="SH-11" sheetId="11" r:id="rId4"/>
    <sheet name="SH-12" sheetId="5" r:id="rId5"/>
    <sheet name="SH-13" sheetId="12" r:id="rId6"/>
    <sheet name="CF14" sheetId="10" r:id="rId7"/>
  </sheets>
  <externalReferences>
    <externalReference r:id="rId8"/>
  </externalReferences>
  <definedNames>
    <definedName name="_xlnm._FilterDatabase" localSheetId="6" hidden="1">'CF14'!$F$28:$F$43</definedName>
    <definedName name="_xlnm.Print_Area" localSheetId="0">'BS3'!$A$1:$I$98</definedName>
    <definedName name="_xlnm.Print_Area" localSheetId="6">'CF14'!$A$1:$J$82</definedName>
    <definedName name="_xlnm.Print_Area" localSheetId="1">'PL6'!$A$1:$I$110</definedName>
    <definedName name="_xlnm.Print_Area" localSheetId="2">'SH-10'!$A$1:$W$31</definedName>
    <definedName name="_xlnm.Print_Area" localSheetId="3">'SH-11'!$A$1:$U$21</definedName>
    <definedName name="_xlnm.Print_Area" localSheetId="4">'SH-12'!$A$1:$N$25</definedName>
    <definedName name="_xlnm.Print_Area" localSheetId="5">'SH-13'!$A$1:$L$17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7" i="9" l="1"/>
  <c r="D21" i="10"/>
  <c r="C24" i="1"/>
  <c r="C82" i="9"/>
  <c r="C20" i="9" l="1"/>
  <c r="G17" i="9" l="1"/>
  <c r="G20" i="9"/>
  <c r="C17" i="9"/>
  <c r="C75" i="9"/>
  <c r="G75" i="9"/>
  <c r="G72" i="9"/>
  <c r="C72" i="9"/>
  <c r="D30" i="10" l="1"/>
  <c r="D36" i="10"/>
  <c r="C53" i="1" l="1"/>
  <c r="C45" i="1"/>
  <c r="J30" i="10" l="1"/>
  <c r="H42" i="10" l="1"/>
  <c r="D42" i="10"/>
  <c r="D28" i="10" l="1"/>
  <c r="H25" i="10"/>
  <c r="C46" i="1" l="1"/>
  <c r="C12" i="1"/>
  <c r="E45" i="1" l="1"/>
  <c r="I45" i="1" l="1"/>
  <c r="C15" i="1" l="1"/>
  <c r="C11" i="1" l="1"/>
  <c r="C16" i="1"/>
  <c r="G12" i="1"/>
  <c r="I12" i="1" l="1"/>
  <c r="G11" i="1" l="1"/>
  <c r="G46" i="1" l="1"/>
  <c r="G57" i="1" s="1"/>
  <c r="C57" i="1"/>
  <c r="I46" i="1"/>
  <c r="E46" i="1"/>
  <c r="E57" i="1" s="1"/>
  <c r="I57" i="1"/>
  <c r="G13" i="1" l="1"/>
  <c r="E12" i="1" l="1"/>
  <c r="C63" i="1"/>
  <c r="G16" i="1" l="1"/>
  <c r="G24" i="1" l="1"/>
  <c r="C30" i="1" l="1"/>
  <c r="G48" i="1" l="1"/>
  <c r="G45" i="1"/>
  <c r="P29" i="9" l="1"/>
  <c r="R29" i="9" s="1"/>
  <c r="P23" i="9"/>
  <c r="R23" i="9" s="1"/>
  <c r="P22" i="9"/>
  <c r="R22" i="9" s="1"/>
  <c r="P21" i="9"/>
  <c r="R21" i="9" s="1"/>
  <c r="P20" i="9"/>
  <c r="R20" i="9" s="1"/>
  <c r="P19" i="9"/>
  <c r="R19" i="9" s="1"/>
  <c r="P18" i="9"/>
  <c r="R18" i="9" s="1"/>
  <c r="P17" i="9"/>
  <c r="R17" i="9" s="1"/>
  <c r="P13" i="9"/>
  <c r="R13" i="9" s="1"/>
  <c r="P12" i="9"/>
  <c r="R12" i="9" s="1"/>
  <c r="P11" i="9"/>
  <c r="R11" i="9" s="1"/>
  <c r="P10" i="9" l="1"/>
  <c r="R10" i="9" s="1"/>
  <c r="C104" i="9" l="1"/>
  <c r="G104" i="9"/>
  <c r="C49" i="9"/>
  <c r="I11" i="1" l="1"/>
  <c r="I16" i="1" s="1"/>
  <c r="E11" i="1"/>
  <c r="E16" i="1" s="1"/>
  <c r="H11" i="10" l="1"/>
  <c r="D11" i="10"/>
  <c r="J11" i="10"/>
  <c r="F11" i="10"/>
  <c r="J12" i="10" l="1"/>
  <c r="F12" i="10"/>
  <c r="H16" i="12" l="1"/>
  <c r="H15" i="12"/>
  <c r="F15" i="12"/>
  <c r="F16" i="12" s="1"/>
  <c r="D15" i="12"/>
  <c r="D16" i="12" s="1"/>
  <c r="L12" i="12"/>
  <c r="J24" i="5"/>
  <c r="H24" i="5"/>
  <c r="F24" i="5"/>
  <c r="D24" i="5"/>
  <c r="N16" i="5"/>
  <c r="N15" i="5"/>
  <c r="H27" i="5"/>
  <c r="H23" i="5"/>
  <c r="H17" i="5"/>
  <c r="H19" i="5" s="1"/>
  <c r="J23" i="5"/>
  <c r="F23" i="5"/>
  <c r="D23" i="5"/>
  <c r="L17" i="5"/>
  <c r="L19" i="5" s="1"/>
  <c r="J17" i="5"/>
  <c r="J19" i="5" s="1"/>
  <c r="F17" i="5"/>
  <c r="F19" i="5" s="1"/>
  <c r="D17" i="5"/>
  <c r="D19" i="5" s="1"/>
  <c r="N12" i="5"/>
  <c r="S18" i="11"/>
  <c r="Q16" i="11"/>
  <c r="U16" i="11" s="1"/>
  <c r="H28" i="5" l="1"/>
  <c r="N17" i="5"/>
  <c r="N19" i="5" s="1"/>
  <c r="U26" i="7" l="1"/>
  <c r="M28" i="7"/>
  <c r="K28" i="7"/>
  <c r="I28" i="7"/>
  <c r="G28" i="7"/>
  <c r="E28" i="7"/>
  <c r="C28" i="7"/>
  <c r="U21" i="7"/>
  <c r="U23" i="7" s="1"/>
  <c r="Q21" i="7"/>
  <c r="Q23" i="7" s="1"/>
  <c r="O21" i="7"/>
  <c r="O23" i="7" s="1"/>
  <c r="M21" i="7"/>
  <c r="M23" i="7" s="1"/>
  <c r="K21" i="7"/>
  <c r="K23" i="7" s="1"/>
  <c r="I21" i="7"/>
  <c r="I23" i="7" s="1"/>
  <c r="G21" i="7"/>
  <c r="G23" i="7" s="1"/>
  <c r="E21" i="7"/>
  <c r="E23" i="7" s="1"/>
  <c r="C21" i="7"/>
  <c r="C23" i="7" s="1"/>
  <c r="S20" i="7"/>
  <c r="W20" i="7" s="1"/>
  <c r="S19" i="7"/>
  <c r="W19" i="7" s="1"/>
  <c r="U27" i="7"/>
  <c r="U28" i="7" s="1"/>
  <c r="Q27" i="7"/>
  <c r="Q28" i="7" s="1"/>
  <c r="M27" i="7"/>
  <c r="K27" i="7"/>
  <c r="I27" i="7"/>
  <c r="G27" i="7"/>
  <c r="E27" i="7"/>
  <c r="C27" i="7"/>
  <c r="S21" i="7" l="1"/>
  <c r="S16" i="7"/>
  <c r="W16" i="7" s="1"/>
  <c r="W21" i="7" l="1"/>
  <c r="W23" i="7" s="1"/>
  <c r="S23" i="7"/>
  <c r="E82" i="9"/>
  <c r="E27" i="9" l="1"/>
  <c r="I79" i="9" l="1"/>
  <c r="G79" i="9"/>
  <c r="E79" i="9"/>
  <c r="C79" i="9"/>
  <c r="I69" i="9"/>
  <c r="G69" i="9"/>
  <c r="E69" i="9"/>
  <c r="C69" i="9"/>
  <c r="G83" i="9" l="1"/>
  <c r="C83" i="9"/>
  <c r="I83" i="9"/>
  <c r="I85" i="9" s="1"/>
  <c r="E83" i="9"/>
  <c r="E85" i="9" s="1"/>
  <c r="C85" i="9" l="1"/>
  <c r="D9" i="10" s="1"/>
  <c r="G85" i="9"/>
  <c r="G100" i="9" s="1"/>
  <c r="G98" i="9" s="1"/>
  <c r="C105" i="9"/>
  <c r="C103" i="9" s="1"/>
  <c r="I100" i="9"/>
  <c r="I98" i="9" s="1"/>
  <c r="L22" i="5" s="1"/>
  <c r="J9" i="10"/>
  <c r="E105" i="9"/>
  <c r="E103" i="9" s="1"/>
  <c r="F9" i="10"/>
  <c r="E87" i="9"/>
  <c r="I87" i="9"/>
  <c r="I105" i="9"/>
  <c r="I103" i="9" s="1"/>
  <c r="E100" i="9"/>
  <c r="E98" i="9" s="1"/>
  <c r="O26" i="7" s="1"/>
  <c r="D61" i="10"/>
  <c r="C100" i="9" l="1"/>
  <c r="C98" i="9" s="1"/>
  <c r="C109" i="9" s="1"/>
  <c r="G87" i="9"/>
  <c r="P32" i="9" s="1"/>
  <c r="C87" i="9"/>
  <c r="H9" i="10"/>
  <c r="G105" i="9"/>
  <c r="G103" i="9" s="1"/>
  <c r="J14" i="12"/>
  <c r="J15" i="12" s="1"/>
  <c r="J16" i="12" s="1"/>
  <c r="G91" i="1" s="1"/>
  <c r="G109" i="9"/>
  <c r="G108" i="9"/>
  <c r="M18" i="11"/>
  <c r="Q18" i="11" s="1"/>
  <c r="U18" i="11" s="1"/>
  <c r="C108" i="9"/>
  <c r="L23" i="5"/>
  <c r="L24" i="5" s="1"/>
  <c r="N22" i="5"/>
  <c r="N23" i="5" s="1"/>
  <c r="N24" i="5" s="1"/>
  <c r="O27" i="7"/>
  <c r="O28" i="7" s="1"/>
  <c r="S26" i="7"/>
  <c r="F61" i="10"/>
  <c r="L14" i="12" l="1"/>
  <c r="L15" i="12" s="1"/>
  <c r="L16" i="12" s="1"/>
  <c r="S27" i="7"/>
  <c r="S28" i="7" s="1"/>
  <c r="W26" i="7"/>
  <c r="W27" i="7" s="1"/>
  <c r="W28" i="7" s="1"/>
  <c r="I52" i="1"/>
  <c r="E52" i="1"/>
  <c r="G31" i="1" l="1"/>
  <c r="C24" i="9" l="1"/>
  <c r="C14" i="9" l="1"/>
  <c r="C28" i="9" s="1"/>
  <c r="C30" i="9" s="1"/>
  <c r="C32" i="9" l="1"/>
  <c r="E68" i="1"/>
  <c r="C68" i="1"/>
  <c r="I68" i="1"/>
  <c r="C50" i="9" l="1"/>
  <c r="C48" i="9" s="1"/>
  <c r="C45" i="9"/>
  <c r="C43" i="9" s="1"/>
  <c r="C53" i="9" s="1"/>
  <c r="C70" i="1"/>
  <c r="C54" i="9" l="1"/>
  <c r="M17" i="9"/>
  <c r="L17" i="9"/>
  <c r="K17" i="9"/>
  <c r="G68" i="1" l="1"/>
  <c r="G33" i="1" l="1"/>
  <c r="J14" i="9" l="1"/>
  <c r="J24" i="9"/>
  <c r="G24" i="9"/>
  <c r="I93" i="1"/>
  <c r="J28" i="9" l="1"/>
  <c r="J30" i="9" s="1"/>
  <c r="G70" i="1"/>
  <c r="J75" i="10" l="1"/>
  <c r="H75" i="10"/>
  <c r="D75" i="10"/>
  <c r="F75" i="10"/>
  <c r="E30" i="1" l="1"/>
  <c r="E93" i="1" l="1"/>
  <c r="I31" i="1"/>
  <c r="I33" i="1" s="1"/>
  <c r="C31" i="1"/>
  <c r="E31" i="1"/>
  <c r="J61" i="10" l="1"/>
  <c r="H61" i="10"/>
  <c r="L19" i="12"/>
  <c r="J19" i="12"/>
  <c r="H19" i="12"/>
  <c r="F19" i="12"/>
  <c r="D19" i="12"/>
  <c r="D20" i="12" s="1"/>
  <c r="S19" i="11"/>
  <c r="S20" i="11" s="1"/>
  <c r="O19" i="11"/>
  <c r="O20" i="11" s="1"/>
  <c r="K19" i="11"/>
  <c r="K20" i="11" s="1"/>
  <c r="I19" i="11"/>
  <c r="I20" i="11" s="1"/>
  <c r="G19" i="11"/>
  <c r="G20" i="11" s="1"/>
  <c r="E19" i="11"/>
  <c r="E20" i="11" s="1"/>
  <c r="C19" i="11"/>
  <c r="C20" i="11" s="1"/>
  <c r="I24" i="9"/>
  <c r="E24" i="9"/>
  <c r="G14" i="9"/>
  <c r="I14" i="9"/>
  <c r="E14" i="9"/>
  <c r="E28" i="9" l="1"/>
  <c r="G28" i="9"/>
  <c r="G30" i="9" s="1"/>
  <c r="I28" i="9"/>
  <c r="F20" i="12"/>
  <c r="H20" i="12"/>
  <c r="Q19" i="11"/>
  <c r="Q20" i="11" s="1"/>
  <c r="U19" i="11"/>
  <c r="U20" i="11" s="1"/>
  <c r="M19" i="11"/>
  <c r="M20" i="11" s="1"/>
  <c r="C91" i="1" s="1"/>
  <c r="I30" i="9" l="1"/>
  <c r="I32" i="9" s="1"/>
  <c r="I50" i="9" s="1"/>
  <c r="H23" i="10"/>
  <c r="H40" i="10" s="1"/>
  <c r="G32" i="9"/>
  <c r="F23" i="10"/>
  <c r="F40" i="10" s="1"/>
  <c r="E30" i="9"/>
  <c r="E32" i="9" s="1"/>
  <c r="E50" i="9" s="1"/>
  <c r="E48" i="9" s="1"/>
  <c r="E45" i="9" l="1"/>
  <c r="E43" i="9" s="1"/>
  <c r="G50" i="9"/>
  <c r="G48" i="9" s="1"/>
  <c r="R32" i="9"/>
  <c r="I48" i="9"/>
  <c r="D23" i="10"/>
  <c r="D40" i="10" s="1"/>
  <c r="D43" i="10" s="1"/>
  <c r="D77" i="10" l="1"/>
  <c r="J23" i="10" l="1"/>
  <c r="N27" i="5"/>
  <c r="L27" i="5"/>
  <c r="J27" i="5"/>
  <c r="F27" i="5"/>
  <c r="D27" i="5"/>
  <c r="W30" i="7"/>
  <c r="U30" i="7"/>
  <c r="S30" i="7"/>
  <c r="O30" i="7"/>
  <c r="M30" i="7"/>
  <c r="G30" i="7"/>
  <c r="G31" i="7" s="1"/>
  <c r="E30" i="7"/>
  <c r="C30" i="7"/>
  <c r="I95" i="1"/>
  <c r="E95" i="1"/>
  <c r="C93" i="1"/>
  <c r="C33" i="1"/>
  <c r="C95" i="1" l="1"/>
  <c r="C97" i="1" s="1"/>
  <c r="U31" i="7"/>
  <c r="H43" i="10"/>
  <c r="H77" i="10" s="1"/>
  <c r="H79" i="10" s="1"/>
  <c r="H83" i="10" s="1"/>
  <c r="J40" i="10"/>
  <c r="J43" i="10" s="1"/>
  <c r="J77" i="10" s="1"/>
  <c r="J79" i="10" s="1"/>
  <c r="J83" i="10" s="1"/>
  <c r="D28" i="5"/>
  <c r="C31" i="7"/>
  <c r="M31" i="7"/>
  <c r="E31" i="7"/>
  <c r="J28" i="5"/>
  <c r="F28" i="5"/>
  <c r="F43" i="10"/>
  <c r="I45" i="9"/>
  <c r="I43" i="9" s="1"/>
  <c r="I70" i="1"/>
  <c r="I97" i="1" s="1"/>
  <c r="D79" i="10"/>
  <c r="D83" i="10" s="1"/>
  <c r="E33" i="1"/>
  <c r="E70" i="1"/>
  <c r="E97" i="1" s="1"/>
  <c r="F77" i="10" l="1"/>
  <c r="F79" i="10" s="1"/>
  <c r="F83" i="10" s="1"/>
  <c r="I99" i="1"/>
  <c r="E99" i="1"/>
  <c r="G45" i="9"/>
  <c r="G43" i="9" s="1"/>
  <c r="C99" i="1"/>
  <c r="G54" i="9" l="1"/>
  <c r="G53" i="9"/>
  <c r="O31" i="7"/>
  <c r="S31" i="7" l="1"/>
  <c r="W31" i="7"/>
  <c r="G93" i="1" l="1"/>
  <c r="G95" i="1" s="1"/>
  <c r="G97" i="1" s="1"/>
  <c r="G99" i="1" s="1"/>
  <c r="L28" i="5" l="1"/>
  <c r="N28" i="5"/>
  <c r="J20" i="12"/>
  <c r="L20" i="12"/>
</calcChain>
</file>

<file path=xl/sharedStrings.xml><?xml version="1.0" encoding="utf-8"?>
<sst xmlns="http://schemas.openxmlformats.org/spreadsheetml/2006/main" count="472" uniqueCount="217">
  <si>
    <t>ทุนเรือนหุ้น</t>
  </si>
  <si>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</si>
  <si>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</si>
  <si>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</si>
  <si>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</si>
  <si>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</si>
  <si>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</si>
  <si>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</si>
  <si>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</si>
  <si>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</si>
  <si>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</si>
  <si>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</si>
  <si>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</si>
  <si>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</si>
  <si>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</si>
  <si>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</si>
  <si>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</si>
  <si>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</si>
  <si>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</si>
  <si>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</si>
  <si>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</si>
  <si>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</si>
  <si>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</si>
  <si>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</si>
  <si>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</si>
  <si>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</si>
  <si>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</si>
  <si>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</si>
  <si>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</si>
  <si>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</si>
  <si>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</si>
  <si>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</si>
  <si>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</si>
  <si>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</si>
  <si>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 xml:space="preserve">   ทุนที่ออกและชำระแล้ว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</si>
  <si>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</si>
  <si>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</si>
  <si>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</si>
  <si>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</si>
  <si>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</si>
  <si>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</si>
  <si>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ที่ดิน อาคารและอุปกรณ์ </t>
  </si>
  <si>
    <t xml:space="preserve">สินทรัพย์ไม่หมุนเวียนอื่น </t>
  </si>
  <si>
    <t>หุ้นกู้ระยะยาว</t>
  </si>
  <si>
    <t xml:space="preserve">   ยังไม่ได้จัดสรร</t>
  </si>
  <si>
    <t>การเปลี่ยนแปลงในสินทรัพย์และหนี้สินดำเนินงาน</t>
  </si>
  <si>
    <t>ภาษีเงินได้ค้างจ่าย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</si>
  <si>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</si>
  <si>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</si>
  <si>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</si>
  <si>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</si>
  <si>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</si>
  <si>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ต้นทุนทางการเงิน</t>
  </si>
  <si>
    <t>ค่าเสื่อมราคาและค่าตัดจำหน่าย</t>
  </si>
  <si>
    <t>โครงการอสังหาริมทรัพย์ระหว่างการพัฒนา</t>
  </si>
  <si>
    <t>งบแสดงฐานะการเงิน</t>
  </si>
  <si>
    <t>อสังหาริมทรัพย์เพื่อการลงทุน</t>
  </si>
  <si>
    <t>ส่วนเกินมูลค่าหุ้นสามัญ</t>
  </si>
  <si>
    <t xml:space="preserve">        ทุนสำรองตามกฎหมาย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</si>
  <si>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</si>
  <si>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</si>
  <si>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</t>
  </si>
  <si>
    <t>ส่วนได้เสีย</t>
  </si>
  <si>
    <t>ที่ออกและ</t>
  </si>
  <si>
    <t>ทุนสำรองตาม</t>
  </si>
  <si>
    <t>ยังไม่ได้</t>
  </si>
  <si>
    <t>ของผู้ถือหุ้น</t>
  </si>
  <si>
    <t>ที่ไม่มีอำนาจ</t>
  </si>
  <si>
    <t>จัดสรร</t>
  </si>
  <si>
    <t>ควบคุม</t>
  </si>
  <si>
    <t>31 ธันวาคม</t>
  </si>
  <si>
    <t xml:space="preserve">   จัดสรรแล้ว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</si>
  <si>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</si>
  <si>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</si>
  <si>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เงินลงทุนในการร่วมค้า</t>
  </si>
  <si>
    <t xml:space="preserve"> </t>
  </si>
  <si>
    <t>รวมส่วนของบริษัทใหญ่</t>
  </si>
  <si>
    <t>ของบริษัทใหญ่</t>
  </si>
  <si>
    <t>ประมาณการหนี้สินสำหรับผลประโยชน์พนักงาน</t>
  </si>
  <si>
    <t>ส่วนแบ่งขาดทุนจากเงินลงทุนในการร่วมค้า</t>
  </si>
  <si>
    <t>ภาษีเงินได้จ่ายออก</t>
  </si>
  <si>
    <t>กระแสเงินสดสุทธิได้มาจาก (ใช้ไปใน) กิจกรรมลงทุน</t>
  </si>
  <si>
    <t>ดอกเบี้ยจ่าย</t>
  </si>
  <si>
    <t>ประมาณการหนี้สินไม่หมุนเวียน</t>
  </si>
  <si>
    <t xml:space="preserve">   กำไร</t>
  </si>
  <si>
    <t>เงินสดรับจากการขายอุปกรณ์</t>
  </si>
  <si>
    <t>งบกำไรขาดทุนเบ็ดเสร็จ (ไม่ได้ตรวจสอบ)</t>
  </si>
  <si>
    <t>สำหรับงวดสามเดือนสิ้นสุด</t>
  </si>
  <si>
    <t>(พันบาท)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</si>
  <si>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</si>
  <si>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</si>
  <si>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ยอดคงเหลือ ณ วันที่ 1 มกราคม 2561</t>
  </si>
  <si>
    <t>งบกระแสเงินสด (ไม่ได้ตรวจสอบ)</t>
  </si>
  <si>
    <t>เงินสดจ่ายเพื่อซื้อที่ดิน อาคารและอุปกรณ์</t>
  </si>
  <si>
    <t>รายการที่ไม่ใช่เงินสด</t>
  </si>
  <si>
    <t>องค์ประกอบอื่น</t>
  </si>
  <si>
    <t>ของส่วนของ</t>
  </si>
  <si>
    <t>ผู้ถือหุ้น</t>
  </si>
  <si>
    <t>(ไม่ได้ตรวจสอบ)</t>
  </si>
  <si>
    <t>ปรับรายการที่กระทบกำไรเป็นเงินสดรับ (จ่าย)</t>
  </si>
  <si>
    <t>บริษัท แกรนด์ คาแนล แลนด์ จำกัด (มหาชน) และบริษัทย่อย</t>
  </si>
  <si>
    <t>ดอกเบี้ยรับ</t>
  </si>
  <si>
    <t>รายได้จากการให้เช่าและให้บริการ</t>
  </si>
  <si>
    <t>ต้นทุนค่าเช่าและค่าบริการ</t>
  </si>
  <si>
    <t>ส่วนแบ่งกำไรจากเงินลงทุนในบริษัทร่วม</t>
  </si>
  <si>
    <t>ยอดคงเหลือ ณ วันที่ 1 มกราคม 2562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</si>
  <si>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</si>
  <si>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</si>
  <si>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</si>
  <si>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</si>
  <si>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</si>
  <si>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</si>
  <si>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</si>
  <si>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</si>
  <si>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</si>
  <si>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</si>
  <si>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</si>
  <si>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</si>
  <si>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</si>
  <si>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สิทธิการเช่าที่ดินตัดจำหน่าย</t>
  </si>
  <si>
    <t>เจ้าหนี้เงินประกันผลงาน</t>
  </si>
  <si>
    <t>รายได้ค่าเช่าและค่าบริการรับล่วงหน้า</t>
  </si>
  <si>
    <t>หนี้สินไม่หมุนเวียนอื่น</t>
  </si>
  <si>
    <t>เงินให้กู้ยืมระยะสั้นแก่กิจการที่เกี่ยวข้องกัน</t>
  </si>
  <si>
    <t>เงินสดรับจากการลดทุนของบริษัทร่วม</t>
  </si>
  <si>
    <t>เงินสดจ่ายเพื่อซื้ออสังหาริมทรัพย์เพื่อการลงทุน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</si>
  <si>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</si>
  <si>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</si>
  <si>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เงินฝากธนาคารที่มีภาระค้ำประกัน</t>
  </si>
  <si>
    <t>เงินลงทุนในบริษัทร่วม</t>
  </si>
  <si>
    <t>เงินลงทุนระยะยาวอื่น</t>
  </si>
  <si>
    <t>สิทธิการเช่าที่ดินจากกิจการที่เกี่ยวข้องกัน</t>
  </si>
  <si>
    <t>เงินกู้ยืมระยะยาวจากสถาบันการเงิน</t>
  </si>
  <si>
    <t xml:space="preserve">    ที่ถึงกำหนดชำระภายในหนึ่งปี</t>
  </si>
  <si>
    <t>หนี้สินภาษีเงินได้รอการตัดบัญชี</t>
  </si>
  <si>
    <t>เงินประกันการเช่าและบริการ</t>
  </si>
  <si>
    <t xml:space="preserve">    สำหรับผลประโยชน์พนักงาน</t>
  </si>
  <si>
    <t>ส่วนปรับปรุงมูลค่าสินทรัพย์ที่ซื้อภายใต้</t>
  </si>
  <si>
    <t xml:space="preserve">    การควบคุมเดียวกันให้เป็นราคาตามบัญชี</t>
  </si>
  <si>
    <t>ส่วนปรับปรุงทุนจากการซื้อธุรกิจแบบย้อนกลับ</t>
  </si>
  <si>
    <t>เงินให้กู้ยืมระยะยาวแก่กิจการที่เกี่ยวข้องกัน</t>
  </si>
  <si>
    <t>เงินมัดจำรับจากลูกค้า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</si>
  <si>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</si>
  <si>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</si>
  <si>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</si>
  <si>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</si>
  <si>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3, 11</t>
  </si>
  <si>
    <t>รายได้ค่าเช่าและค่าบริการรับล่วงหน้าที่ถึงกำหนด</t>
  </si>
  <si>
    <t>เงินกู้ยืมระยะสั้นจากสถาบันการเงิน</t>
  </si>
  <si>
    <t>2561 Per Lead</t>
  </si>
  <si>
    <t>กำไรขาดทุนเบ็ดเสร็จอื่น</t>
  </si>
  <si>
    <t>ขาดทุนจากการเปลี่ยนแปลงมูลค่ายุติธรรมของ</t>
  </si>
  <si>
    <t>ค่าใช้จ่ายในการขาย</t>
  </si>
  <si>
    <t>รวมกำไรเบ็ดเสร็จสำหรับงวด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</si>
  <si>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</si>
  <si>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</si>
  <si>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</si>
  <si>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</si>
  <si>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ลูกหนี้ค่าอุปกรณ์ - กิจการที่เกี่ยวข้องกันเพิ่มขึ้นสุทธิ</t>
  </si>
  <si>
    <t>กำไรจากการจำหน่ายที่ดิน อาคาร และอุปกรณ์</t>
  </si>
  <si>
    <t xml:space="preserve">    และการร่วมค้า</t>
  </si>
  <si>
    <t>เงินปันผลรับ</t>
  </si>
  <si>
    <t>เงินสดและรายการเทียบเท่าเงินสด ณ 1 มกราคม</t>
  </si>
  <si>
    <t>เงินสดรับจากเงินกู้ยืมระยะสั้นจากสถาบันการเงิน</t>
  </si>
  <si>
    <t xml:space="preserve">    รับรู้เป็นรายได้ภายในหนึ่งปี</t>
  </si>
  <si>
    <t xml:space="preserve">    อสังหาริมทรัพย์เพื่อการลงทุน</t>
  </si>
  <si>
    <t>รายได้ค่าเช่าและค่าบริการรับล่วงหน้าส่วนที่รับรู้เป็นรายได้</t>
  </si>
  <si>
    <t>30 มิถุนายน</t>
  </si>
  <si>
    <t>วันที่ 30 มิถุนายน</t>
  </si>
  <si>
    <t>ยอดคงเหลือ ณ วันที่ 30 มิถุนายน 2561</t>
  </si>
  <si>
    <t>ยอดคงเหลือ ณ วันที่ 30 มิถุนายน 2562</t>
  </si>
  <si>
    <t>สำหรับงวดหกเดือนสิ้นสุด</t>
  </si>
  <si>
    <t>ค่าใช้จ่าย (รายได้) ภาษีเงินได้</t>
  </si>
  <si>
    <t>กำไร (ขาดทุน) สำหรับงวด</t>
  </si>
  <si>
    <t>กำไร (ขาดทุน) เบ็ดเสร็จรวมสำหรับงวด</t>
  </si>
  <si>
    <t>การแบ่งปันกำไร (ขาดทุน)</t>
  </si>
  <si>
    <t>การแบ่งปันกำไร (ขาดทุน) เบ็ดเสร็จรวม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</si>
  <si>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</si>
  <si>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กำไร (ขาดทุน) ต่อหุ้นขั้นพื้นฐาน</t>
  </si>
  <si>
    <t>กำไร (ขาดทุน) ต่อหุ้นปรับลด</t>
  </si>
  <si>
    <t>กำไร (ขาดทุน) ก่อนภาษีเงินได้</t>
  </si>
  <si>
    <t>กำไร (ขาดทุน) ต่อหุ้น (บาท)</t>
  </si>
  <si>
    <t>เงินรับล่วงหน้า</t>
  </si>
  <si>
    <t>ค่าหุ้น</t>
  </si>
  <si>
    <t xml:space="preserve">     กำไร</t>
  </si>
  <si>
    <t xml:space="preserve">    เงินทุนที่ได้รับจากผู้ถือหุ้นและการจัดสรรส่วนทุนให้ผู้ถือหุ้น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</si>
  <si>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</si>
  <si>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รับเงินค่าหุ้นสามัญเพิ่มทุนล่วงหน้า</t>
  </si>
  <si>
    <t xml:space="preserve">    รวมเงินทุนที่ได้รับจากผู้ถือหุ้นและการจัดสรรส่วนทุนให้ผู้ถือหุ้น</t>
  </si>
  <si>
    <t>รายการกับผู้ถือหุ้นที่บันทึกโดยตรงเข้าส่วนของผู้ถือหุ้น</t>
  </si>
  <si>
    <t>ภาษีเงินได้รับคืน</t>
  </si>
  <si>
    <t>เงินปันผลจ่ายให้ผู้ถือหุ้นของบริษัท</t>
  </si>
  <si>
    <t>เงินสดรับจากการออกหุ้นกู้</t>
  </si>
  <si>
    <t>เงินสดจ่ายชำระคืนหุ้นกู้</t>
  </si>
  <si>
    <t>เงินสดรับล่วงหน้าค่าหุ้น</t>
  </si>
  <si>
    <t>สำหรับงวดหกเดือนสิ้นสุดวันที่ 30 มิถุนายน 2561</t>
  </si>
  <si>
    <t>สำหรับงวดหกเดือนสิ้นสุดวันที่ 30 มิถุนายน 2562</t>
  </si>
  <si>
    <t xml:space="preserve">     ขาดทุน</t>
  </si>
  <si>
    <t>เงินสดและรายการเทียบเท่าเงินสด ณ 30 มิถุนายน</t>
  </si>
  <si>
    <t>ลูกหนี้อื่น</t>
  </si>
  <si>
    <t>ลูกหนี้การค้า</t>
  </si>
  <si>
    <t>3, 12</t>
  </si>
  <si>
    <t>เจ้าหนี้การค้า</t>
  </si>
  <si>
    <t>เจ้าหนี้อื่น</t>
  </si>
  <si>
    <t>เจ้าหนี้ผู้รับเหมาก่อสร้าง</t>
  </si>
  <si>
    <t>Q1</t>
  </si>
  <si>
    <t>รวมขาดทุนเบ็ดเสร็จสำหรับงวด</t>
  </si>
  <si>
    <t>รวมรายการกับผู้ถือหุ้นที่บันทึกโดยตรงเข้าส่วนของผู้ถือหุ้น</t>
  </si>
  <si>
    <t>เจ้าหนี้ผู้รับเหมา</t>
  </si>
  <si>
    <t>เงินสดจ่ายเพื่อชำระเงินกู้ยืมระยะสั้นจากสถาบันการเงิน</t>
  </si>
  <si>
    <t>ขาดทุนจากการเปลี่ยนแปลงมูลค่ายุติธรรมของอสังหาริมทรัพย์เพื่อการลงทุน</t>
  </si>
  <si>
    <t>กลับรายการหนี้สูญและหนี้สงสัยจะสูญ</t>
  </si>
  <si>
    <t>3, 5, 23</t>
  </si>
  <si>
    <t>3, 6, 23</t>
  </si>
  <si>
    <t>3, 23</t>
  </si>
  <si>
    <t>3, 14, 23</t>
  </si>
  <si>
    <t>ส่วนแบ่งกำไร (ขาดทุน) จากเงินลงทุนในบริษัทร่วม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</si>
</sst>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_(* #,##0_);_(* \(#,##0\);_(* &quot;-&quot;??_);_(@_)"/>
    <numFmt numFmtId="168" formatCode="_-* #,##0_-;\-* #,##0_-;_-* &quot;-&quot;??_-;_-@_-"/>
    <numFmt numFmtId="169" formatCode="_(* #,##0.000000_);_(* \(#,##0.000000\);_(* &quot;-&quot;??_);_(@_)"/>
    <numFmt numFmtId="170" formatCode="_(* #,##0.0_);_(* \(#,##0.0\);_(* &quot;-&quot;??_);_(@_)"/>
    <numFmt numFmtId="171" formatCode="#,##0.000\ ;\(#,##0.000\)"/>
    <numFmt numFmtId="172" formatCode="_(* #,##0.000_);_(* \(#,##0.000\);_(* &quot;-&quot;??_);_(@_)"/>
  </numFmts>
  <fonts count="21" x14ac:knownFonts="1">
    <font>
      <sz val="16"/>
      <name val="Angsana New"/>
      <family val="1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sz val="8"/>
      <name val="Arial"/>
      <family val="2"/>
    </font>
    <font>
      <sz val="8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i/>
      <sz val="16"/>
      <name val="Angsana New"/>
      <family val="1"/>
    </font>
    <font>
      <i/>
      <sz val="15"/>
      <color indexed="8"/>
      <name val="Angsana New"/>
      <family val="1"/>
    </font>
    <font>
      <u/>
      <sz val="15"/>
      <name val="Angsana New"/>
      <family val="1"/>
    </font>
    <font>
      <sz val="11"/>
      <color theme="1"/>
      <name val="Calibri"/>
      <family val="2"/>
      <scheme val="minor"/>
    </font>
    <font>
      <sz val="15"/>
      <color theme="0"/>
      <name val="Angsana New"/>
      <family val="1"/>
    </font>
    <font>
      <b/>
      <sz val="15"/>
      <color theme="1"/>
      <name val="Angsana New"/>
      <family val="1"/>
    </font>
    <font>
      <sz val="15"/>
      <color rgb="FFFF0000"/>
      <name val="Angsana New"/>
      <family val="1"/>
    </font>
    <font>
      <b/>
      <i/>
      <sz val="14"/>
      <name val="Angsana New"/>
      <family val="1"/>
    </font>
    <font>
      <b/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94">
    <xf numFmtId="0" fontId="0" fillId="0" borderId="0" xfId="0"/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/>
    <xf numFmtId="0" fontId="9" fillId="0" borderId="0" xfId="0" applyFont="1" applyFill="1" applyAlignment="1"/>
    <xf numFmtId="0" fontId="7" fillId="0" borderId="0" xfId="0" applyFont="1" applyFill="1" applyAlignment="1">
      <alignment horizontal="left"/>
    </xf>
    <xf numFmtId="165" fontId="9" fillId="0" borderId="1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37" fontId="9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/>
    </xf>
    <xf numFmtId="165" fontId="9" fillId="0" borderId="0" xfId="0" applyNumberFormat="1" applyFont="1" applyFill="1" applyAlignment="1">
      <alignment horizontal="right"/>
    </xf>
    <xf numFmtId="43" fontId="9" fillId="0" borderId="0" xfId="1" applyFont="1" applyFill="1" applyAlignment="1"/>
    <xf numFmtId="165" fontId="9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5" fontId="7" fillId="0" borderId="2" xfId="0" applyNumberFormat="1" applyFont="1" applyFill="1" applyBorder="1" applyAlignment="1">
      <alignment horizontal="right"/>
    </xf>
    <xf numFmtId="165" fontId="7" fillId="0" borderId="3" xfId="0" applyNumberFormat="1" applyFont="1" applyFill="1" applyBorder="1" applyAlignment="1">
      <alignment horizontal="right"/>
    </xf>
    <xf numFmtId="165" fontId="7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10" fillId="0" borderId="0" xfId="0" applyFont="1" applyFill="1" applyAlignment="1">
      <alignment horizontal="center"/>
    </xf>
    <xf numFmtId="0" fontId="3" fillId="0" borderId="0" xfId="0" applyFont="1" applyFill="1" applyAlignment="1"/>
    <xf numFmtId="0" fontId="6" fillId="0" borderId="0" xfId="0" applyFont="1" applyFill="1" applyAlignment="1"/>
    <xf numFmtId="167" fontId="7" fillId="0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9" fillId="0" borderId="0" xfId="0" applyFont="1" applyFill="1"/>
    <xf numFmtId="0" fontId="9" fillId="0" borderId="0" xfId="0" applyFont="1" applyFill="1" applyBorder="1" applyAlignment="1">
      <alignment horizontal="center"/>
    </xf>
    <xf numFmtId="165" fontId="7" fillId="0" borderId="4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37" fontId="9" fillId="0" borderId="0" xfId="0" applyNumberFormat="1" applyFont="1" applyFill="1" applyBorder="1" applyAlignment="1"/>
    <xf numFmtId="165" fontId="9" fillId="0" borderId="0" xfId="0" applyNumberFormat="1" applyFont="1" applyFill="1" applyAlignment="1"/>
    <xf numFmtId="167" fontId="9" fillId="0" borderId="0" xfId="1" applyNumberFormat="1" applyFont="1" applyFill="1" applyBorder="1" applyAlignment="1">
      <alignment horizontal="center"/>
    </xf>
    <xf numFmtId="41" fontId="9" fillId="0" borderId="0" xfId="0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/>
    <xf numFmtId="167" fontId="9" fillId="0" borderId="0" xfId="1" applyNumberFormat="1" applyFont="1" applyFill="1" applyAlignment="1">
      <alignment horizontal="right"/>
    </xf>
    <xf numFmtId="43" fontId="9" fillId="0" borderId="0" xfId="1" applyFont="1" applyFill="1" applyAlignment="1">
      <alignment horizontal="center"/>
    </xf>
    <xf numFmtId="165" fontId="7" fillId="0" borderId="1" xfId="0" applyNumberFormat="1" applyFont="1" applyFill="1" applyBorder="1" applyAlignment="1">
      <alignment horizontal="right"/>
    </xf>
    <xf numFmtId="168" fontId="9" fillId="0" borderId="3" xfId="0" applyNumberFormat="1" applyFont="1" applyFill="1" applyBorder="1" applyAlignment="1">
      <alignment horizontal="right"/>
    </xf>
    <xf numFmtId="0" fontId="0" fillId="0" borderId="0" xfId="0" applyFont="1" applyFill="1" applyAlignment="1"/>
    <xf numFmtId="49" fontId="9" fillId="0" borderId="0" xfId="0" applyNumberFormat="1" applyFont="1" applyFill="1" applyAlignment="1">
      <alignment horizontal="left"/>
    </xf>
    <xf numFmtId="43" fontId="16" fillId="0" borderId="0" xfId="1" applyFont="1" applyFill="1" applyAlignment="1">
      <alignment horizontal="right"/>
    </xf>
    <xf numFmtId="43" fontId="9" fillId="0" borderId="0" xfId="1" applyFont="1" applyFill="1" applyAlignment="1">
      <alignment horizontal="right"/>
    </xf>
    <xf numFmtId="167" fontId="9" fillId="0" borderId="0" xfId="1" applyNumberFormat="1" applyFont="1" applyFill="1" applyAlignment="1"/>
    <xf numFmtId="0" fontId="9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167" fontId="9" fillId="0" borderId="0" xfId="1" applyNumberFormat="1" applyFont="1" applyFill="1" applyBorder="1" applyAlignment="1"/>
    <xf numFmtId="167" fontId="7" fillId="0" borderId="0" xfId="1" applyNumberFormat="1" applyFont="1" applyFill="1" applyAlignment="1"/>
    <xf numFmtId="37" fontId="9" fillId="0" borderId="0" xfId="1" applyNumberFormat="1" applyFont="1" applyFill="1" applyAlignment="1">
      <alignment horizontal="right"/>
    </xf>
    <xf numFmtId="49" fontId="10" fillId="0" borderId="0" xfId="0" applyNumberFormat="1" applyFont="1" applyFill="1" applyAlignment="1"/>
    <xf numFmtId="49" fontId="8" fillId="0" borderId="0" xfId="0" applyNumberFormat="1" applyFont="1" applyFill="1" applyAlignment="1"/>
    <xf numFmtId="49" fontId="9" fillId="0" borderId="0" xfId="0" applyNumberFormat="1" applyFont="1" applyFill="1" applyAlignment="1"/>
    <xf numFmtId="167" fontId="9" fillId="0" borderId="0" xfId="1" applyNumberFormat="1" applyFont="1" applyFill="1" applyAlignment="1">
      <alignment horizontal="center"/>
    </xf>
    <xf numFmtId="37" fontId="9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Alignment="1"/>
    <xf numFmtId="167" fontId="9" fillId="0" borderId="0" xfId="0" applyNumberFormat="1" applyFont="1" applyFill="1" applyAlignment="1"/>
    <xf numFmtId="49" fontId="9" fillId="0" borderId="0" xfId="0" applyNumberFormat="1" applyFont="1" applyFill="1" applyBorder="1" applyAlignment="1"/>
    <xf numFmtId="167" fontId="9" fillId="0" borderId="5" xfId="1" applyNumberFormat="1" applyFont="1" applyFill="1" applyBorder="1" applyAlignment="1"/>
    <xf numFmtId="43" fontId="9" fillId="0" borderId="0" xfId="1" applyFont="1" applyFill="1" applyBorder="1" applyAlignment="1">
      <alignment horizontal="center"/>
    </xf>
    <xf numFmtId="168" fontId="9" fillId="0" borderId="0" xfId="0" applyNumberFormat="1" applyFont="1" applyFill="1" applyBorder="1" applyAlignment="1">
      <alignment horizontal="right"/>
    </xf>
    <xf numFmtId="167" fontId="9" fillId="0" borderId="0" xfId="1" quotePrefix="1" applyNumberFormat="1" applyFont="1" applyFill="1" applyAlignment="1">
      <alignment horizontal="right"/>
    </xf>
    <xf numFmtId="169" fontId="9" fillId="0" borderId="0" xfId="1" applyNumberFormat="1" applyFont="1" applyFill="1" applyAlignment="1">
      <alignment horizontal="right"/>
    </xf>
    <xf numFmtId="167" fontId="9" fillId="0" borderId="1" xfId="1" applyNumberFormat="1" applyFont="1" applyFill="1" applyBorder="1" applyAlignment="1"/>
    <xf numFmtId="165" fontId="17" fillId="0" borderId="2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center"/>
    </xf>
    <xf numFmtId="167" fontId="9" fillId="0" borderId="1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9" fontId="9" fillId="0" borderId="0" xfId="7" applyFont="1" applyFill="1" applyAlignment="1">
      <alignment horizontal="right"/>
    </xf>
    <xf numFmtId="0" fontId="10" fillId="0" borderId="0" xfId="0" applyFont="1" applyFill="1" applyAlignment="1">
      <alignment horizontal="center" vertical="center"/>
    </xf>
    <xf numFmtId="10" fontId="9" fillId="0" borderId="0" xfId="7" applyNumberFormat="1" applyFont="1" applyFill="1" applyAlignment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vertical="top" wrapText="1"/>
    </xf>
    <xf numFmtId="166" fontId="9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/>
    </xf>
    <xf numFmtId="167" fontId="7" fillId="0" borderId="0" xfId="1" quotePrefix="1" applyNumberFormat="1" applyFont="1" applyFill="1" applyAlignment="1">
      <alignment horizontal="center"/>
    </xf>
    <xf numFmtId="167" fontId="9" fillId="0" borderId="0" xfId="1" quotePrefix="1" applyNumberFormat="1" applyFont="1" applyFill="1" applyAlignment="1">
      <alignment horizontal="center"/>
    </xf>
    <xf numFmtId="43" fontId="9" fillId="0" borderId="0" xfId="1" quotePrefix="1" applyFont="1" applyFill="1" applyBorder="1" applyAlignment="1">
      <alignment horizontal="center"/>
    </xf>
    <xf numFmtId="43" fontId="9" fillId="0" borderId="0" xfId="1" quotePrefix="1" applyFont="1" applyFill="1" applyAlignment="1">
      <alignment horizontal="center"/>
    </xf>
    <xf numFmtId="0" fontId="7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167" fontId="9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67" fontId="9" fillId="0" borderId="0" xfId="1" quotePrefix="1" applyNumberFormat="1" applyFont="1" applyFill="1" applyBorder="1" applyAlignment="1">
      <alignment horizontal="center"/>
    </xf>
    <xf numFmtId="43" fontId="7" fillId="0" borderId="2" xfId="1" quotePrefix="1" applyNumberFormat="1" applyFont="1" applyFill="1" applyBorder="1" applyAlignment="1">
      <alignment horizontal="center"/>
    </xf>
    <xf numFmtId="43" fontId="7" fillId="0" borderId="0" xfId="1" quotePrefix="1" applyNumberFormat="1" applyFont="1" applyFill="1" applyBorder="1" applyAlignment="1">
      <alignment horizontal="center"/>
    </xf>
    <xf numFmtId="167" fontId="7" fillId="0" borderId="2" xfId="1" quotePrefix="1" applyNumberFormat="1" applyFont="1" applyFill="1" applyBorder="1" applyAlignment="1">
      <alignment horizontal="center"/>
    </xf>
    <xf numFmtId="167" fontId="7" fillId="0" borderId="0" xfId="1" quotePrefix="1" applyNumberFormat="1" applyFont="1" applyFill="1" applyBorder="1" applyAlignment="1">
      <alignment horizontal="center"/>
    </xf>
    <xf numFmtId="43" fontId="8" fillId="0" borderId="0" xfId="1" applyFont="1" applyFill="1" applyAlignment="1"/>
    <xf numFmtId="0" fontId="8" fillId="0" borderId="0" xfId="0" applyFont="1" applyFill="1"/>
    <xf numFmtId="43" fontId="14" fillId="0" borderId="0" xfId="1" applyFont="1" applyFill="1" applyBorder="1" applyAlignment="1">
      <alignment horizontal="right"/>
    </xf>
    <xf numFmtId="43" fontId="7" fillId="0" borderId="0" xfId="1" applyFont="1" applyFill="1" applyBorder="1" applyAlignment="1">
      <alignment horizontal="right"/>
    </xf>
    <xf numFmtId="165" fontId="14" fillId="0" borderId="0" xfId="0" applyNumberFormat="1" applyFont="1" applyFill="1" applyBorder="1" applyAlignment="1">
      <alignment horizontal="right"/>
    </xf>
    <xf numFmtId="43" fontId="9" fillId="0" borderId="0" xfId="1" applyNumberFormat="1" applyFont="1" applyFill="1" applyAlignment="1"/>
    <xf numFmtId="43" fontId="9" fillId="0" borderId="0" xfId="1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center"/>
    </xf>
    <xf numFmtId="37" fontId="9" fillId="0" borderId="1" xfId="0" applyNumberFormat="1" applyFont="1" applyFill="1" applyBorder="1" applyAlignment="1">
      <alignment horizontal="right"/>
    </xf>
    <xf numFmtId="170" fontId="9" fillId="0" borderId="0" xfId="1" applyNumberFormat="1" applyFont="1" applyFill="1" applyAlignment="1"/>
    <xf numFmtId="43" fontId="18" fillId="0" borderId="0" xfId="1" applyFont="1" applyFill="1" applyBorder="1" applyAlignment="1">
      <alignment horizontal="right"/>
    </xf>
    <xf numFmtId="10" fontId="9" fillId="0" borderId="0" xfId="7" applyNumberFormat="1" applyFont="1" applyFill="1" applyBorder="1" applyAlignment="1"/>
    <xf numFmtId="0" fontId="9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43" fontId="9" fillId="0" borderId="1" xfId="1" applyFont="1" applyFill="1" applyBorder="1" applyAlignment="1">
      <alignment horizontal="right"/>
    </xf>
    <xf numFmtId="167" fontId="9" fillId="0" borderId="1" xfId="1" applyNumberFormat="1" applyFont="1" applyFill="1" applyBorder="1" applyAlignment="1">
      <alignment horizontal="right"/>
    </xf>
    <xf numFmtId="43" fontId="9" fillId="0" borderId="0" xfId="1" applyFont="1" applyFill="1" applyBorder="1" applyAlignment="1">
      <alignment horizontal="right"/>
    </xf>
    <xf numFmtId="43" fontId="9" fillId="0" borderId="1" xfId="1" applyFont="1" applyFill="1" applyBorder="1" applyAlignment="1">
      <alignment horizontal="center"/>
    </xf>
    <xf numFmtId="171" fontId="9" fillId="0" borderId="3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 vertical="top"/>
    </xf>
    <xf numFmtId="167" fontId="9" fillId="0" borderId="1" xfId="0" applyNumberFormat="1" applyFont="1" applyFill="1" applyBorder="1" applyAlignment="1">
      <alignment horizontal="right"/>
    </xf>
    <xf numFmtId="43" fontId="7" fillId="0" borderId="2" xfId="1" applyFont="1" applyFill="1" applyBorder="1" applyAlignment="1">
      <alignment horizontal="right"/>
    </xf>
    <xf numFmtId="43" fontId="9" fillId="0" borderId="0" xfId="0" applyNumberFormat="1" applyFont="1" applyFill="1" applyAlignment="1"/>
    <xf numFmtId="2" fontId="9" fillId="0" borderId="0" xfId="0" applyNumberFormat="1" applyFont="1" applyFill="1" applyAlignment="1"/>
    <xf numFmtId="167" fontId="9" fillId="0" borderId="0" xfId="1" applyNumberFormat="1" applyFont="1" applyFill="1" applyBorder="1" applyAlignment="1">
      <alignment horizontal="right"/>
    </xf>
    <xf numFmtId="165" fontId="7" fillId="0" borderId="1" xfId="8" applyNumberFormat="1" applyFont="1" applyFill="1" applyBorder="1" applyAlignment="1">
      <alignment horizontal="right"/>
    </xf>
    <xf numFmtId="165" fontId="9" fillId="0" borderId="0" xfId="8" applyNumberFormat="1" applyFont="1" applyFill="1" applyBorder="1" applyAlignment="1">
      <alignment horizontal="right"/>
    </xf>
    <xf numFmtId="165" fontId="7" fillId="0" borderId="2" xfId="8" applyNumberFormat="1" applyFont="1" applyFill="1" applyBorder="1" applyAlignment="1">
      <alignment horizontal="right"/>
    </xf>
    <xf numFmtId="165" fontId="7" fillId="0" borderId="4" xfId="8" applyNumberFormat="1" applyFont="1" applyFill="1" applyBorder="1" applyAlignment="1">
      <alignment horizontal="right"/>
    </xf>
    <xf numFmtId="0" fontId="9" fillId="0" borderId="0" xfId="8" applyFont="1" applyFill="1" applyAlignment="1"/>
    <xf numFmtId="0" fontId="9" fillId="0" borderId="0" xfId="8" applyFont="1" applyFill="1" applyBorder="1" applyAlignment="1"/>
    <xf numFmtId="3" fontId="7" fillId="0" borderId="0" xfId="8" applyNumberFormat="1" applyFont="1" applyFill="1" applyBorder="1" applyAlignment="1">
      <alignment wrapText="1"/>
    </xf>
    <xf numFmtId="171" fontId="9" fillId="0" borderId="3" xfId="8" applyNumberFormat="1" applyFont="1" applyFill="1" applyBorder="1" applyAlignment="1">
      <alignment horizontal="right"/>
    </xf>
    <xf numFmtId="9" fontId="9" fillId="0" borderId="0" xfId="0" applyNumberFormat="1" applyFont="1" applyFill="1" applyAlignment="1"/>
    <xf numFmtId="167" fontId="7" fillId="0" borderId="3" xfId="1" applyNumberFormat="1" applyFont="1" applyFill="1" applyBorder="1" applyAlignment="1">
      <alignment horizontal="center"/>
    </xf>
    <xf numFmtId="41" fontId="9" fillId="0" borderId="0" xfId="0" applyNumberFormat="1" applyFont="1" applyFill="1" applyAlignment="1"/>
    <xf numFmtId="167" fontId="9" fillId="0" borderId="0" xfId="8" applyNumberFormat="1" applyFont="1" applyFill="1" applyAlignment="1"/>
    <xf numFmtId="165" fontId="9" fillId="0" borderId="1" xfId="8" applyNumberFormat="1" applyFont="1" applyFill="1" applyBorder="1" applyAlignment="1">
      <alignment horizontal="right"/>
    </xf>
    <xf numFmtId="167" fontId="9" fillId="0" borderId="0" xfId="9" applyNumberFormat="1" applyFont="1" applyFill="1" applyAlignment="1"/>
    <xf numFmtId="37" fontId="9" fillId="0" borderId="0" xfId="0" applyNumberFormat="1" applyFont="1" applyFill="1" applyAlignment="1">
      <alignment horizontal="center"/>
    </xf>
    <xf numFmtId="0" fontId="9" fillId="0" borderId="0" xfId="6" applyFont="1" applyFill="1" applyAlignment="1"/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5" fontId="7" fillId="0" borderId="5" xfId="0" applyNumberFormat="1" applyFont="1" applyFill="1" applyBorder="1" applyAlignment="1"/>
    <xf numFmtId="37" fontId="9" fillId="0" borderId="0" xfId="0" applyNumberFormat="1" applyFont="1" applyFill="1" applyAlignment="1"/>
    <xf numFmtId="0" fontId="8" fillId="0" borderId="0" xfId="0" applyFont="1" applyFill="1" applyAlignment="1">
      <alignment horizontal="center"/>
    </xf>
    <xf numFmtId="172" fontId="9" fillId="0" borderId="6" xfId="1" applyNumberFormat="1" applyFont="1" applyFill="1" applyBorder="1" applyAlignment="1"/>
    <xf numFmtId="172" fontId="9" fillId="0" borderId="3" xfId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167" fontId="7" fillId="0" borderId="0" xfId="1" applyNumberFormat="1" applyFont="1" applyFill="1" applyAlignment="1">
      <alignment horizontal="right"/>
    </xf>
    <xf numFmtId="167" fontId="7" fillId="0" borderId="0" xfId="1" applyNumberFormat="1" applyFont="1" applyFill="1" applyBorder="1" applyAlignment="1">
      <alignment horizontal="right"/>
    </xf>
    <xf numFmtId="0" fontId="9" fillId="0" borderId="0" xfId="0" applyFont="1" applyFill="1" applyAlignment="1">
      <alignment vertical="top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wrapText="1"/>
    </xf>
    <xf numFmtId="167" fontId="7" fillId="0" borderId="2" xfId="1" applyNumberFormat="1" applyFont="1" applyFill="1" applyBorder="1" applyAlignment="1">
      <alignment horizontal="right"/>
    </xf>
    <xf numFmtId="167" fontId="7" fillId="0" borderId="1" xfId="1" applyNumberFormat="1" applyFont="1" applyFill="1" applyBorder="1" applyAlignment="1">
      <alignment horizontal="right"/>
    </xf>
    <xf numFmtId="167" fontId="14" fillId="0" borderId="0" xfId="1" applyNumberFormat="1" applyFont="1" applyFill="1" applyBorder="1" applyAlignment="1">
      <alignment horizontal="right"/>
    </xf>
    <xf numFmtId="167" fontId="9" fillId="0" borderId="0" xfId="1" quotePrefix="1" applyNumberFormat="1" applyFont="1" applyFill="1" applyBorder="1" applyAlignment="1">
      <alignment horizontal="right"/>
    </xf>
    <xf numFmtId="167" fontId="7" fillId="0" borderId="3" xfId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 vertical="top" wrapText="1"/>
    </xf>
    <xf numFmtId="43" fontId="9" fillId="0" borderId="1" xfId="9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7" fontId="7" fillId="0" borderId="2" xfId="0" applyNumberFormat="1" applyFont="1" applyFill="1" applyBorder="1" applyAlignment="1">
      <alignment horizontal="right"/>
    </xf>
    <xf numFmtId="167" fontId="7" fillId="0" borderId="3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</cellXfs>
  <cellStyles count="10">
    <cellStyle name="Comma" xfId="1" builtinId="3"/>
    <cellStyle name="Comma 10" xfId="2" xr:uid="{00000000-0005-0000-0000-000001000000}"/>
    <cellStyle name="Comma 17" xfId="3" xr:uid="{00000000-0005-0000-0000-000002000000}"/>
    <cellStyle name="Comma 2" xfId="9" xr:uid="{00000000-0005-0000-0000-000003000000}"/>
    <cellStyle name="Normal" xfId="0" builtinId="0"/>
    <cellStyle name="Normal 3" xfId="4" xr:uid="{00000000-0005-0000-0000-000005000000}"/>
    <cellStyle name="Normal 4" xfId="8" xr:uid="{00000000-0005-0000-0000-000006000000}"/>
    <cellStyle name="Normal 69" xfId="5" xr:uid="{00000000-0005-0000-0000-000007000000}"/>
    <cellStyle name="Normal_pre356a081b-09t-1 Rev 2" xfId="6" xr:uid="{00000000-0005-0000-0000-000008000000}"/>
    <cellStyle name="Percent" xfId="7" builtinId="5"/>
  </cellStyles>
  <dxfs count="0"/>
  <tableStyles count="0" defaultTableStyle="TableStyleMedium9" defaultPivotStyle="PivotStyleLight16"/>
  <colors>
    <mruColors>
      <color rgb="FF00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neral-Admin\Typist\In%20Process%202016-2017\p\PRE356\2017\M-03\Rev%201\pre356a171b-03t-1%20Rev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"/>
      <sheetName val="PL6-7"/>
      <sheetName val="ส่วนของผู้ถือหุ้นรวม8"/>
      <sheetName val="ส่วนของผู้ถือหุ้นรวม9"/>
      <sheetName val="ส่วนของผู้ถือหุ้นเฉพาะ10"/>
      <sheetName val="ส่วนของผู้ถือหุ้นเฉพาะ11"/>
      <sheetName val="งบกระแสเงินสด"/>
      <sheetName val="Sheet1"/>
    </sheetNames>
    <sheetDataSet>
      <sheetData sheetId="0" refreshError="1">
        <row r="11">
          <cell r="C11" t="str">
            <v>-</v>
          </cell>
        </row>
        <row r="77">
          <cell r="C77">
            <v>2232682</v>
          </cell>
          <cell r="G77">
            <v>2232682</v>
          </cell>
        </row>
        <row r="78">
          <cell r="C78">
            <v>1828229</v>
          </cell>
          <cell r="G78">
            <v>1828229</v>
          </cell>
        </row>
        <row r="79">
          <cell r="C79" t="str">
            <v>-</v>
          </cell>
        </row>
        <row r="82">
          <cell r="C82">
            <v>228530</v>
          </cell>
          <cell r="G82">
            <v>228530</v>
          </cell>
        </row>
        <row r="83">
          <cell r="C83">
            <v>32660144</v>
          </cell>
          <cell r="G83">
            <v>26538983</v>
          </cell>
        </row>
        <row r="85">
          <cell r="C85">
            <v>36896986</v>
          </cell>
        </row>
        <row r="86">
          <cell r="C86">
            <v>-9333</v>
          </cell>
        </row>
        <row r="87">
          <cell r="C87">
            <v>36887653</v>
          </cell>
          <cell r="G87">
            <v>30828424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"/>
  <sheetViews>
    <sheetView tabSelected="1" view="pageBreakPreview" zoomScale="90" zoomScaleNormal="85" zoomScaleSheetLayoutView="90" workbookViewId="0"/>
  </sheetViews>
  <sheetFormatPr defaultColWidth="9.28515625" defaultRowHeight="23.25" customHeight="1" x14ac:dyDescent="0.45"/>
  <cols>
    <col min="1" max="1" width="40.28515625" style="1" customWidth="1"/>
    <col min="2" max="2" width="8.140625" style="21" customWidth="1"/>
    <col min="3" max="3" width="14.42578125" style="3" customWidth="1"/>
    <col min="4" max="4" width="1" style="3" customWidth="1"/>
    <col min="5" max="5" width="13.7109375" style="3" customWidth="1"/>
    <col min="6" max="6" width="1" style="3" customWidth="1"/>
    <col min="7" max="7" width="14.42578125" style="3" customWidth="1"/>
    <col min="8" max="8" width="1" style="3" customWidth="1"/>
    <col min="9" max="9" width="13.7109375" style="3" customWidth="1"/>
    <col min="10" max="10" width="2.28515625" style="3" customWidth="1"/>
    <col min="11" max="11" width="14.7109375" style="3" customWidth="1"/>
    <col min="12" max="12" width="12.42578125" style="3" bestFit="1" customWidth="1"/>
    <col min="13" max="13" width="10.28515625" style="3" customWidth="1"/>
    <col min="14" max="17" width="9.28515625" style="3" customWidth="1"/>
    <col min="18" max="16384" width="9.28515625" style="3"/>
  </cols>
  <sheetData>
    <row r="1" spans="1:20" s="37" customFormat="1" ht="23.25" customHeight="1" x14ac:dyDescent="0.5">
      <c r="A1" s="45" t="s">
        <v>100</v>
      </c>
      <c r="B1" s="19"/>
    </row>
    <row r="2" spans="1:20" s="37" customFormat="1" ht="23.25" customHeight="1" x14ac:dyDescent="0.5">
      <c r="A2" s="45" t="s">
        <v>55</v>
      </c>
      <c r="B2" s="19"/>
    </row>
    <row r="3" spans="1:20" ht="23.25" customHeight="1" x14ac:dyDescent="0.45">
      <c r="B3" s="183"/>
      <c r="C3" s="182"/>
      <c r="D3" s="182"/>
      <c r="E3" s="182"/>
      <c r="F3" s="182"/>
      <c r="G3" s="182"/>
      <c r="H3" s="182"/>
      <c r="I3" s="182"/>
    </row>
    <row r="4" spans="1:20" ht="23.25" customHeight="1" x14ac:dyDescent="0.45">
      <c r="B4" s="183"/>
      <c r="C4" s="188" t="s">
        <v>32</v>
      </c>
      <c r="D4" s="188"/>
      <c r="E4" s="188"/>
      <c r="F4" s="181"/>
      <c r="G4" s="188" t="s">
        <v>47</v>
      </c>
      <c r="H4" s="188"/>
      <c r="I4" s="188"/>
    </row>
    <row r="5" spans="1:20" ht="23.25" customHeight="1" x14ac:dyDescent="0.45">
      <c r="B5" s="183"/>
      <c r="C5" s="182" t="s">
        <v>167</v>
      </c>
      <c r="D5" s="182"/>
      <c r="E5" s="182" t="s">
        <v>70</v>
      </c>
      <c r="F5" s="181"/>
      <c r="G5" s="182" t="s">
        <v>167</v>
      </c>
      <c r="H5" s="182"/>
      <c r="I5" s="182" t="s">
        <v>70</v>
      </c>
    </row>
    <row r="6" spans="1:20" ht="23.25" customHeight="1" x14ac:dyDescent="0.5">
      <c r="A6" s="45" t="s">
        <v>2</v>
      </c>
      <c r="B6" s="180" t="s">
        <v>1</v>
      </c>
      <c r="C6" s="23">
        <v>2562</v>
      </c>
      <c r="D6" s="23"/>
      <c r="E6" s="23">
        <v>2561</v>
      </c>
      <c r="F6" s="23"/>
      <c r="G6" s="23">
        <v>2562</v>
      </c>
      <c r="H6" s="23"/>
      <c r="I6" s="23">
        <v>2561</v>
      </c>
    </row>
    <row r="7" spans="1:20" ht="23.25" customHeight="1" x14ac:dyDescent="0.5">
      <c r="A7" s="45"/>
      <c r="B7" s="180"/>
      <c r="C7" s="23" t="s">
        <v>98</v>
      </c>
      <c r="D7" s="23"/>
      <c r="E7" s="23"/>
      <c r="F7" s="23"/>
      <c r="G7" s="23" t="s">
        <v>98</v>
      </c>
      <c r="H7" s="23"/>
      <c r="I7" s="23"/>
    </row>
    <row r="8" spans="1:20" ht="23.25" customHeight="1" x14ac:dyDescent="0.45">
      <c r="B8" s="180"/>
      <c r="C8" s="187" t="s">
        <v>88</v>
      </c>
      <c r="D8" s="187"/>
      <c r="E8" s="187"/>
      <c r="F8" s="187"/>
      <c r="G8" s="187"/>
      <c r="H8" s="187"/>
      <c r="I8" s="187"/>
    </row>
    <row r="9" spans="1:20" ht="23.25" customHeight="1" x14ac:dyDescent="0.45">
      <c r="A9" s="8" t="s">
        <v>3</v>
      </c>
      <c r="B9" s="183"/>
      <c r="C9" s="6" t="s">
        <v>75</v>
      </c>
      <c r="D9" s="6"/>
      <c r="E9" s="6" t="s">
        <v>75</v>
      </c>
      <c r="F9" s="6"/>
      <c r="G9" s="6"/>
      <c r="H9" s="6"/>
      <c r="I9" s="6"/>
    </row>
    <row r="10" spans="1:20" ht="23.25" customHeight="1" x14ac:dyDescent="0.45">
      <c r="A10" s="1" t="s">
        <v>31</v>
      </c>
      <c r="B10" s="183"/>
      <c r="C10" s="33">
        <v>163609</v>
      </c>
      <c r="D10" s="7"/>
      <c r="E10" s="7">
        <v>178368</v>
      </c>
      <c r="F10" s="7"/>
      <c r="G10" s="7">
        <v>106047</v>
      </c>
      <c r="H10" s="7"/>
      <c r="I10" s="7">
        <v>47643</v>
      </c>
      <c r="K10" s="52"/>
      <c r="L10" s="48"/>
      <c r="M10" s="52"/>
      <c r="N10" s="7"/>
      <c r="O10" s="7"/>
      <c r="P10" s="7"/>
      <c r="Q10" s="7"/>
    </row>
    <row r="11" spans="1:20" ht="23.25" customHeight="1" x14ac:dyDescent="0.45">
      <c r="A11" s="1" t="s">
        <v>200</v>
      </c>
      <c r="B11" s="183" t="s">
        <v>212</v>
      </c>
      <c r="C11" s="33">
        <f>87848</f>
        <v>87848</v>
      </c>
      <c r="D11" s="7"/>
      <c r="E11" s="33">
        <f>301681-227648</f>
        <v>74033</v>
      </c>
      <c r="F11" s="7"/>
      <c r="G11" s="33">
        <f>112096+3498</f>
        <v>115594</v>
      </c>
      <c r="H11" s="7"/>
      <c r="I11" s="33">
        <f>421210-357909</f>
        <v>63301</v>
      </c>
      <c r="K11" s="52"/>
      <c r="L11" s="48"/>
      <c r="M11" s="52"/>
      <c r="N11" s="7"/>
      <c r="O11" s="7"/>
      <c r="P11" s="7"/>
      <c r="Q11" s="7"/>
      <c r="R11" s="153"/>
      <c r="T11" s="153"/>
    </row>
    <row r="12" spans="1:20" ht="23.25" customHeight="1" x14ac:dyDescent="0.45">
      <c r="A12" s="1" t="s">
        <v>199</v>
      </c>
      <c r="B12" s="183" t="s">
        <v>213</v>
      </c>
      <c r="C12" s="7">
        <f>690909-436837-3498+59-22667</f>
        <v>227966</v>
      </c>
      <c r="D12" s="7"/>
      <c r="E12" s="33">
        <f>437467+227648+28107-437467</f>
        <v>255755</v>
      </c>
      <c r="F12" s="7"/>
      <c r="G12" s="33">
        <f>456507-274001-3498</f>
        <v>179008</v>
      </c>
      <c r="H12" s="7"/>
      <c r="I12" s="33">
        <f>265549+357909+45-265549</f>
        <v>357954</v>
      </c>
      <c r="K12" s="52"/>
      <c r="L12" s="48"/>
      <c r="M12" s="52"/>
      <c r="N12" s="7"/>
      <c r="O12" s="7"/>
      <c r="P12" s="7"/>
      <c r="Q12" s="7"/>
      <c r="R12" s="153"/>
      <c r="T12" s="153"/>
    </row>
    <row r="13" spans="1:20" ht="23.25" customHeight="1" x14ac:dyDescent="0.45">
      <c r="A13" s="1" t="s">
        <v>123</v>
      </c>
      <c r="B13" s="183">
        <v>3</v>
      </c>
      <c r="C13" s="34">
        <v>0</v>
      </c>
      <c r="D13" s="48"/>
      <c r="E13" s="34">
        <v>0</v>
      </c>
      <c r="F13" s="7"/>
      <c r="G13" s="7">
        <f>1441525-52166+84109-67197</f>
        <v>1406271</v>
      </c>
      <c r="H13" s="7"/>
      <c r="I13" s="7">
        <v>1280000</v>
      </c>
      <c r="K13" s="52"/>
      <c r="L13" s="48"/>
      <c r="M13" s="55"/>
    </row>
    <row r="14" spans="1:20" ht="23.25" customHeight="1" x14ac:dyDescent="0.45">
      <c r="A14" s="1" t="s">
        <v>54</v>
      </c>
      <c r="B14" s="183">
        <v>7</v>
      </c>
      <c r="C14" s="7">
        <v>996191</v>
      </c>
      <c r="D14" s="7"/>
      <c r="E14" s="7">
        <v>1010351</v>
      </c>
      <c r="F14" s="7"/>
      <c r="G14" s="7">
        <v>623563</v>
      </c>
      <c r="H14" s="7"/>
      <c r="I14" s="7">
        <v>623563</v>
      </c>
      <c r="K14" s="52"/>
      <c r="L14" s="48"/>
    </row>
    <row r="15" spans="1:20" ht="23.25" customHeight="1" x14ac:dyDescent="0.45">
      <c r="A15" s="1" t="s">
        <v>4</v>
      </c>
      <c r="B15" s="183"/>
      <c r="C15" s="7">
        <f>436837-59</f>
        <v>436778</v>
      </c>
      <c r="D15" s="7"/>
      <c r="E15" s="7">
        <v>437467</v>
      </c>
      <c r="F15" s="7"/>
      <c r="G15" s="7">
        <v>274000</v>
      </c>
      <c r="H15" s="7"/>
      <c r="I15" s="7">
        <v>265549</v>
      </c>
      <c r="K15" s="52"/>
      <c r="L15" s="48"/>
      <c r="M15" s="55"/>
    </row>
    <row r="16" spans="1:20" ht="23.25" customHeight="1" x14ac:dyDescent="0.45">
      <c r="A16" s="4" t="s">
        <v>5</v>
      </c>
      <c r="B16" s="183"/>
      <c r="C16" s="63">
        <f>SUM(C10:C15)</f>
        <v>1912392</v>
      </c>
      <c r="D16" s="15"/>
      <c r="E16" s="63">
        <f>SUM(E10:E15)</f>
        <v>1955974</v>
      </c>
      <c r="F16" s="15"/>
      <c r="G16" s="63">
        <f>SUM(G10:G15)</f>
        <v>2704483</v>
      </c>
      <c r="H16" s="15"/>
      <c r="I16" s="63">
        <f>SUM(I10:I15)</f>
        <v>2638010</v>
      </c>
    </row>
    <row r="17" spans="1:13" ht="23.25" customHeight="1" x14ac:dyDescent="0.45">
      <c r="B17" s="183"/>
      <c r="C17" s="9"/>
      <c r="D17" s="9"/>
      <c r="E17" s="9"/>
      <c r="F17" s="9"/>
      <c r="G17" s="9"/>
      <c r="H17" s="9"/>
      <c r="I17" s="9"/>
    </row>
    <row r="18" spans="1:13" ht="23.25" customHeight="1" x14ac:dyDescent="0.45">
      <c r="A18" s="8" t="s">
        <v>6</v>
      </c>
      <c r="B18" s="183"/>
      <c r="C18" s="9"/>
      <c r="D18" s="9"/>
      <c r="E18" s="9"/>
      <c r="F18" s="9"/>
      <c r="G18" s="9"/>
      <c r="H18" s="9"/>
      <c r="I18" s="9"/>
    </row>
    <row r="19" spans="1:13" ht="23.25" customHeight="1" x14ac:dyDescent="0.45">
      <c r="A19" s="1" t="s">
        <v>128</v>
      </c>
      <c r="B19" s="183"/>
      <c r="C19" s="33">
        <v>11223</v>
      </c>
      <c r="D19" s="9"/>
      <c r="E19" s="9">
        <v>11223</v>
      </c>
      <c r="F19" s="9"/>
      <c r="G19" s="9">
        <v>1021</v>
      </c>
      <c r="H19" s="9"/>
      <c r="I19" s="9">
        <v>1021</v>
      </c>
    </row>
    <row r="20" spans="1:13" ht="23.25" customHeight="1" x14ac:dyDescent="0.45">
      <c r="A20" s="1" t="s">
        <v>129</v>
      </c>
      <c r="B20" s="183">
        <v>8</v>
      </c>
      <c r="C20" s="52">
        <v>782404</v>
      </c>
      <c r="D20" s="7"/>
      <c r="E20" s="52">
        <v>773442</v>
      </c>
      <c r="F20" s="7"/>
      <c r="G20" s="7">
        <v>683774</v>
      </c>
      <c r="H20" s="7"/>
      <c r="I20" s="7">
        <v>683774</v>
      </c>
    </row>
    <row r="21" spans="1:13" ht="23.25" customHeight="1" x14ac:dyDescent="0.45">
      <c r="A21" s="1" t="s">
        <v>48</v>
      </c>
      <c r="B21" s="183">
        <v>9</v>
      </c>
      <c r="C21" s="52">
        <v>0</v>
      </c>
      <c r="D21" s="7"/>
      <c r="E21" s="34">
        <v>0</v>
      </c>
      <c r="F21" s="7"/>
      <c r="G21" s="7">
        <v>6017375</v>
      </c>
      <c r="H21" s="7"/>
      <c r="I21" s="7">
        <v>6017375</v>
      </c>
    </row>
    <row r="22" spans="1:13" ht="23.25" customHeight="1" x14ac:dyDescent="0.45">
      <c r="A22" s="1" t="s">
        <v>74</v>
      </c>
      <c r="B22" s="183">
        <v>8</v>
      </c>
      <c r="C22" s="33">
        <v>0</v>
      </c>
      <c r="D22" s="7"/>
      <c r="E22" s="40">
        <v>0</v>
      </c>
      <c r="F22" s="7"/>
      <c r="G22" s="34">
        <v>0</v>
      </c>
      <c r="H22" s="7"/>
      <c r="I22" s="40">
        <v>0</v>
      </c>
    </row>
    <row r="23" spans="1:13" ht="23.25" customHeight="1" x14ac:dyDescent="0.45">
      <c r="A23" s="1" t="s">
        <v>130</v>
      </c>
      <c r="B23" s="183">
        <v>4</v>
      </c>
      <c r="C23" s="33">
        <v>104520</v>
      </c>
      <c r="D23" s="7"/>
      <c r="E23" s="33">
        <v>104520</v>
      </c>
      <c r="F23" s="7"/>
      <c r="G23" s="34">
        <v>0</v>
      </c>
      <c r="H23" s="7"/>
      <c r="I23" s="34">
        <v>0</v>
      </c>
    </row>
    <row r="24" spans="1:13" ht="23.25" customHeight="1" x14ac:dyDescent="0.45">
      <c r="A24" s="1" t="s">
        <v>140</v>
      </c>
      <c r="B24" s="183" t="s">
        <v>214</v>
      </c>
      <c r="C24" s="33">
        <f>4170920</f>
        <v>4170920</v>
      </c>
      <c r="D24" s="7"/>
      <c r="E24" s="7">
        <v>4173235</v>
      </c>
      <c r="F24" s="7"/>
      <c r="G24" s="52">
        <f>4715000+52166+67197</f>
        <v>4834363</v>
      </c>
      <c r="H24" s="7"/>
      <c r="I24" s="9">
        <v>4583000</v>
      </c>
      <c r="L24" s="10"/>
      <c r="M24" s="130"/>
    </row>
    <row r="25" spans="1:13" ht="23.25" customHeight="1" x14ac:dyDescent="0.45">
      <c r="A25" s="1" t="s">
        <v>56</v>
      </c>
      <c r="B25" s="183">
        <v>10</v>
      </c>
      <c r="C25" s="60">
        <v>21488056</v>
      </c>
      <c r="D25" s="7"/>
      <c r="E25" s="60">
        <v>21445905</v>
      </c>
      <c r="F25" s="7"/>
      <c r="G25" s="7">
        <v>10242756</v>
      </c>
      <c r="H25" s="7"/>
      <c r="I25" s="7">
        <v>10267448</v>
      </c>
    </row>
    <row r="26" spans="1:13" ht="23.25" customHeight="1" x14ac:dyDescent="0.45">
      <c r="A26" s="1" t="s">
        <v>41</v>
      </c>
      <c r="B26" s="183"/>
      <c r="C26" s="60">
        <v>493124</v>
      </c>
      <c r="D26" s="7"/>
      <c r="E26" s="60">
        <v>498901</v>
      </c>
      <c r="F26" s="7"/>
      <c r="G26" s="7">
        <v>16232</v>
      </c>
      <c r="H26" s="7"/>
      <c r="I26" s="7">
        <v>16942</v>
      </c>
    </row>
    <row r="27" spans="1:13" ht="23.25" customHeight="1" x14ac:dyDescent="0.45">
      <c r="A27" s="1" t="s">
        <v>131</v>
      </c>
      <c r="B27" s="183" t="s">
        <v>146</v>
      </c>
      <c r="C27" s="60">
        <v>101584</v>
      </c>
      <c r="D27" s="7"/>
      <c r="E27" s="60">
        <v>105905</v>
      </c>
      <c r="F27" s="7"/>
      <c r="G27" s="34">
        <v>0</v>
      </c>
      <c r="H27" s="7"/>
      <c r="I27" s="40">
        <v>0</v>
      </c>
    </row>
    <row r="28" spans="1:13" ht="23.25" customHeight="1" x14ac:dyDescent="0.45">
      <c r="A28" s="1" t="s">
        <v>50</v>
      </c>
      <c r="B28" s="183"/>
      <c r="C28" s="60">
        <v>716</v>
      </c>
      <c r="D28" s="7"/>
      <c r="E28" s="60">
        <v>1008</v>
      </c>
      <c r="F28" s="7"/>
      <c r="G28" s="7">
        <v>497</v>
      </c>
      <c r="H28" s="7"/>
      <c r="I28" s="33">
        <v>715</v>
      </c>
    </row>
    <row r="29" spans="1:13" ht="23.25" customHeight="1" x14ac:dyDescent="0.45">
      <c r="A29" s="1" t="s">
        <v>143</v>
      </c>
      <c r="B29" s="183"/>
      <c r="C29" s="60">
        <v>23411</v>
      </c>
      <c r="D29" s="7"/>
      <c r="E29" s="60">
        <v>35726</v>
      </c>
      <c r="F29" s="7"/>
      <c r="G29" s="34">
        <v>0</v>
      </c>
      <c r="H29" s="7"/>
      <c r="I29" s="33">
        <v>0</v>
      </c>
    </row>
    <row r="30" spans="1:13" ht="23.25" customHeight="1" x14ac:dyDescent="0.45">
      <c r="A30" s="1" t="s">
        <v>42</v>
      </c>
      <c r="B30" s="183" t="s">
        <v>214</v>
      </c>
      <c r="C30" s="60">
        <f>12030+260645</f>
        <v>272675</v>
      </c>
      <c r="D30" s="7"/>
      <c r="E30" s="60">
        <f>27434+129957</f>
        <v>157391</v>
      </c>
      <c r="F30" s="7"/>
      <c r="G30" s="7">
        <v>4820</v>
      </c>
      <c r="H30" s="7"/>
      <c r="I30" s="7">
        <v>12003</v>
      </c>
      <c r="K30" s="10"/>
      <c r="L30" s="130"/>
    </row>
    <row r="31" spans="1:13" ht="23.25" customHeight="1" x14ac:dyDescent="0.45">
      <c r="A31" s="4" t="s">
        <v>7</v>
      </c>
      <c r="B31" s="183"/>
      <c r="C31" s="13">
        <f>SUM(C19:C30)</f>
        <v>27448633</v>
      </c>
      <c r="D31" s="15"/>
      <c r="E31" s="13">
        <f>SUM(E19:E30)</f>
        <v>27307256</v>
      </c>
      <c r="F31" s="15"/>
      <c r="G31" s="63">
        <f>SUM(G19:G30)</f>
        <v>21800838</v>
      </c>
      <c r="H31" s="15"/>
      <c r="I31" s="63">
        <f>SUM(I19:I30)</f>
        <v>21582278</v>
      </c>
    </row>
    <row r="32" spans="1:13" ht="23.25" customHeight="1" x14ac:dyDescent="0.45">
      <c r="A32" s="4"/>
      <c r="B32" s="183"/>
      <c r="C32" s="12"/>
      <c r="D32" s="15"/>
      <c r="E32" s="12"/>
      <c r="F32" s="15"/>
      <c r="G32" s="12"/>
      <c r="H32" s="15"/>
      <c r="I32" s="12"/>
    </row>
    <row r="33" spans="1:17" ht="23.25" customHeight="1" thickBot="1" x14ac:dyDescent="0.5">
      <c r="A33" s="4" t="s">
        <v>8</v>
      </c>
      <c r="B33" s="183"/>
      <c r="C33" s="14">
        <f>+C16+C31</f>
        <v>29361025</v>
      </c>
      <c r="D33" s="15"/>
      <c r="E33" s="14">
        <f>+E16++E31</f>
        <v>29263230</v>
      </c>
      <c r="F33" s="15"/>
      <c r="G33" s="14">
        <f>+G16+G31</f>
        <v>24505321</v>
      </c>
      <c r="H33" s="15"/>
      <c r="I33" s="14">
        <f>+I16+I31</f>
        <v>24220288</v>
      </c>
    </row>
    <row r="34" spans="1:17" ht="23.25" customHeight="1" thickTop="1" x14ac:dyDescent="0.45">
      <c r="A34" s="4"/>
      <c r="B34" s="183"/>
      <c r="C34" s="12"/>
      <c r="D34" s="15"/>
      <c r="E34" s="12"/>
      <c r="F34" s="15"/>
      <c r="G34" s="12"/>
      <c r="H34" s="15"/>
      <c r="I34" s="12"/>
    </row>
    <row r="35" spans="1:17" s="37" customFormat="1" ht="23.25" customHeight="1" x14ac:dyDescent="0.5">
      <c r="A35" s="45" t="s">
        <v>100</v>
      </c>
      <c r="B35" s="19"/>
    </row>
    <row r="36" spans="1:17" s="37" customFormat="1" ht="23.25" customHeight="1" x14ac:dyDescent="0.5">
      <c r="A36" s="45" t="s">
        <v>55</v>
      </c>
      <c r="B36" s="19"/>
    </row>
    <row r="37" spans="1:17" ht="23.25" customHeight="1" x14ac:dyDescent="0.45">
      <c r="A37" s="4"/>
    </row>
    <row r="38" spans="1:17" ht="23.25" customHeight="1" x14ac:dyDescent="0.45">
      <c r="B38" s="183"/>
      <c r="C38" s="188" t="s">
        <v>32</v>
      </c>
      <c r="D38" s="188"/>
      <c r="E38" s="188"/>
      <c r="F38" s="181"/>
      <c r="G38" s="188" t="s">
        <v>47</v>
      </c>
      <c r="H38" s="188"/>
      <c r="I38" s="188"/>
    </row>
    <row r="39" spans="1:17" ht="23.25" customHeight="1" x14ac:dyDescent="0.45">
      <c r="B39" s="183"/>
      <c r="C39" s="182" t="s">
        <v>167</v>
      </c>
      <c r="D39" s="182"/>
      <c r="E39" s="182" t="s">
        <v>70</v>
      </c>
      <c r="F39" s="181"/>
      <c r="G39" s="182" t="s">
        <v>167</v>
      </c>
      <c r="H39" s="182"/>
      <c r="I39" s="182" t="s">
        <v>70</v>
      </c>
    </row>
    <row r="40" spans="1:17" ht="23.25" customHeight="1" x14ac:dyDescent="0.5">
      <c r="A40" s="45" t="s">
        <v>9</v>
      </c>
      <c r="B40" s="180" t="s">
        <v>1</v>
      </c>
      <c r="C40" s="23">
        <v>2562</v>
      </c>
      <c r="D40" s="23"/>
      <c r="E40" s="23">
        <v>2561</v>
      </c>
      <c r="F40" s="23"/>
      <c r="G40" s="23">
        <v>2562</v>
      </c>
      <c r="H40" s="23"/>
      <c r="I40" s="23">
        <v>2561</v>
      </c>
    </row>
    <row r="41" spans="1:17" ht="23.25" customHeight="1" x14ac:dyDescent="0.5">
      <c r="A41" s="45"/>
      <c r="B41" s="180"/>
      <c r="C41" s="23" t="s">
        <v>98</v>
      </c>
      <c r="D41" s="23"/>
      <c r="E41" s="23"/>
      <c r="F41" s="23"/>
      <c r="G41" s="23" t="s">
        <v>98</v>
      </c>
      <c r="H41" s="23"/>
      <c r="I41" s="23"/>
    </row>
    <row r="42" spans="1:17" ht="23.25" customHeight="1" x14ac:dyDescent="0.45">
      <c r="B42" s="180"/>
      <c r="C42" s="187" t="s">
        <v>88</v>
      </c>
      <c r="D42" s="187"/>
      <c r="E42" s="187"/>
      <c r="F42" s="187"/>
      <c r="G42" s="187"/>
      <c r="H42" s="187"/>
      <c r="I42" s="187"/>
    </row>
    <row r="43" spans="1:17" ht="23.25" customHeight="1" x14ac:dyDescent="0.45">
      <c r="A43" s="8" t="s">
        <v>10</v>
      </c>
      <c r="B43" s="183"/>
      <c r="C43" s="6"/>
      <c r="D43" s="6"/>
      <c r="E43" s="6"/>
      <c r="F43" s="6"/>
      <c r="G43" s="6"/>
      <c r="H43" s="6"/>
      <c r="I43" s="6"/>
    </row>
    <row r="44" spans="1:17" ht="23.25" customHeight="1" x14ac:dyDescent="0.45">
      <c r="A44" s="1" t="s">
        <v>148</v>
      </c>
      <c r="B44" s="183">
        <v>12</v>
      </c>
      <c r="C44" s="60">
        <v>920000</v>
      </c>
      <c r="D44" s="9"/>
      <c r="E44" s="60">
        <v>520000</v>
      </c>
      <c r="F44" s="9"/>
      <c r="G44" s="60">
        <v>920000</v>
      </c>
      <c r="H44" s="9"/>
      <c r="I44" s="60">
        <v>520000</v>
      </c>
      <c r="K44" s="33"/>
      <c r="L44" s="9"/>
      <c r="M44" s="7"/>
      <c r="N44" s="9"/>
      <c r="O44" s="9"/>
      <c r="P44" s="9"/>
      <c r="Q44" s="9"/>
    </row>
    <row r="45" spans="1:17" ht="23.25" customHeight="1" x14ac:dyDescent="0.45">
      <c r="A45" s="1" t="s">
        <v>202</v>
      </c>
      <c r="B45" s="183" t="s">
        <v>214</v>
      </c>
      <c r="C45" s="60">
        <f>630873-103544</f>
        <v>527329</v>
      </c>
      <c r="D45" s="9"/>
      <c r="E45" s="60">
        <f>912971-341227</f>
        <v>571744</v>
      </c>
      <c r="F45" s="9"/>
      <c r="G45" s="60">
        <f>201421-47359</f>
        <v>154062</v>
      </c>
      <c r="H45" s="9"/>
      <c r="I45" s="60">
        <f>39047+135777-16472</f>
        <v>158352</v>
      </c>
      <c r="K45" s="33"/>
      <c r="L45" s="9"/>
      <c r="M45" s="7"/>
      <c r="N45" s="9"/>
      <c r="O45" s="9"/>
      <c r="P45" s="9"/>
      <c r="Q45" s="9"/>
    </row>
    <row r="46" spans="1:17" ht="23.25" customHeight="1" x14ac:dyDescent="0.45">
      <c r="A46" s="1" t="s">
        <v>203</v>
      </c>
      <c r="B46" s="183" t="s">
        <v>214</v>
      </c>
      <c r="C46" s="60">
        <f>693683-11251-209603-629-18065-3498-22667</f>
        <v>427970</v>
      </c>
      <c r="D46" s="9"/>
      <c r="E46" s="60">
        <f>1328505+213332+17417+22349-912971-213332-17417-22349</f>
        <v>415534</v>
      </c>
      <c r="F46" s="9"/>
      <c r="G46" s="60">
        <f>206538-3657-14507</f>
        <v>188374</v>
      </c>
      <c r="H46" s="9"/>
      <c r="I46" s="60">
        <f>433667+3676+13761-39047-135777-3676-13761</f>
        <v>258843</v>
      </c>
      <c r="K46" s="33"/>
      <c r="L46" s="9"/>
      <c r="M46" s="7"/>
      <c r="N46" s="9"/>
      <c r="O46" s="9"/>
      <c r="P46" s="9"/>
      <c r="Q46" s="9"/>
    </row>
    <row r="47" spans="1:17" ht="23.25" customHeight="1" x14ac:dyDescent="0.45">
      <c r="A47" s="1" t="s">
        <v>120</v>
      </c>
      <c r="B47" s="183">
        <v>3</v>
      </c>
      <c r="C47" s="60">
        <v>209603</v>
      </c>
      <c r="D47" s="9"/>
      <c r="E47" s="60">
        <v>213332</v>
      </c>
      <c r="F47" s="9"/>
      <c r="G47" s="60">
        <v>3657</v>
      </c>
      <c r="H47" s="9"/>
      <c r="I47" s="60">
        <v>3676</v>
      </c>
      <c r="K47" s="33"/>
      <c r="L47" s="9"/>
      <c r="M47" s="7"/>
      <c r="N47" s="9"/>
      <c r="O47" s="9"/>
      <c r="P47" s="9"/>
      <c r="Q47" s="9"/>
    </row>
    <row r="48" spans="1:17" ht="23.25" customHeight="1" x14ac:dyDescent="0.45">
      <c r="A48" s="1" t="s">
        <v>142</v>
      </c>
      <c r="B48" s="183" t="s">
        <v>201</v>
      </c>
      <c r="C48" s="52">
        <v>0</v>
      </c>
      <c r="D48" s="10"/>
      <c r="E48" s="34">
        <v>0</v>
      </c>
      <c r="G48" s="9">
        <f>2801780+47359</f>
        <v>2849139</v>
      </c>
      <c r="I48" s="9">
        <v>2860000</v>
      </c>
      <c r="K48" s="130"/>
    </row>
    <row r="49" spans="1:12" ht="23.25" customHeight="1" x14ac:dyDescent="0.45">
      <c r="A49" s="1" t="s">
        <v>132</v>
      </c>
      <c r="C49" s="52"/>
      <c r="D49" s="10"/>
      <c r="E49" s="34"/>
      <c r="G49" s="9"/>
      <c r="I49" s="9"/>
      <c r="K49" s="130"/>
    </row>
    <row r="50" spans="1:12" ht="23.25" customHeight="1" x14ac:dyDescent="0.45">
      <c r="A50" s="1" t="s">
        <v>133</v>
      </c>
      <c r="B50" s="183">
        <v>12</v>
      </c>
      <c r="C50" s="52">
        <v>270000</v>
      </c>
      <c r="D50" s="10"/>
      <c r="E50" s="52">
        <v>522869</v>
      </c>
      <c r="G50" s="40">
        <v>0</v>
      </c>
      <c r="I50" s="40">
        <v>0</v>
      </c>
    </row>
    <row r="51" spans="1:12" ht="23.25" customHeight="1" x14ac:dyDescent="0.45">
      <c r="A51" s="1" t="s">
        <v>147</v>
      </c>
      <c r="B51" s="183"/>
      <c r="C51" s="33"/>
      <c r="D51" s="9"/>
      <c r="E51" s="40"/>
      <c r="F51" s="9"/>
      <c r="G51" s="9"/>
      <c r="H51" s="9"/>
      <c r="I51" s="40"/>
    </row>
    <row r="52" spans="1:12" ht="23.25" customHeight="1" x14ac:dyDescent="0.45">
      <c r="A52" s="1" t="s">
        <v>164</v>
      </c>
      <c r="B52" s="183" t="s">
        <v>214</v>
      </c>
      <c r="C52" s="33">
        <v>229867</v>
      </c>
      <c r="D52" s="9"/>
      <c r="E52" s="33">
        <f>223645+6456</f>
        <v>230101</v>
      </c>
      <c r="F52" s="9"/>
      <c r="G52" s="33">
        <v>154942</v>
      </c>
      <c r="H52" s="9"/>
      <c r="I52" s="9">
        <f>148707+6456</f>
        <v>155163</v>
      </c>
      <c r="K52" s="55"/>
      <c r="L52" s="29"/>
    </row>
    <row r="53" spans="1:12" ht="23.25" customHeight="1" x14ac:dyDescent="0.45">
      <c r="A53" s="1" t="s">
        <v>204</v>
      </c>
      <c r="B53" s="183">
        <v>23</v>
      </c>
      <c r="C53" s="33">
        <f>246698+103544</f>
        <v>350242</v>
      </c>
      <c r="D53" s="9"/>
      <c r="E53" s="33">
        <v>341227</v>
      </c>
      <c r="F53" s="9"/>
      <c r="G53" s="33">
        <v>10739</v>
      </c>
      <c r="H53" s="9"/>
      <c r="I53" s="33">
        <v>16472</v>
      </c>
    </row>
    <row r="54" spans="1:12" ht="23.25" customHeight="1" x14ac:dyDescent="0.45">
      <c r="A54" s="1" t="s">
        <v>141</v>
      </c>
      <c r="B54" s="183"/>
      <c r="C54" s="33">
        <v>629</v>
      </c>
      <c r="D54" s="9"/>
      <c r="E54" s="33">
        <v>17417</v>
      </c>
      <c r="F54" s="9"/>
      <c r="G54" s="33">
        <v>0</v>
      </c>
      <c r="H54" s="9"/>
      <c r="I54" s="40">
        <v>0</v>
      </c>
      <c r="K54" s="55"/>
      <c r="L54" s="29"/>
    </row>
    <row r="55" spans="1:12" ht="23.25" customHeight="1" x14ac:dyDescent="0.45">
      <c r="A55" s="1" t="s">
        <v>46</v>
      </c>
      <c r="B55" s="183"/>
      <c r="C55" s="33">
        <v>16195</v>
      </c>
      <c r="D55" s="9"/>
      <c r="E55" s="7">
        <v>30648</v>
      </c>
      <c r="F55" s="9"/>
      <c r="G55" s="10">
        <v>0</v>
      </c>
      <c r="H55" s="9"/>
      <c r="I55" s="10">
        <v>0</v>
      </c>
    </row>
    <row r="56" spans="1:12" ht="23.25" customHeight="1" x14ac:dyDescent="0.45">
      <c r="A56" s="1" t="s">
        <v>21</v>
      </c>
      <c r="B56" s="183">
        <v>23</v>
      </c>
      <c r="C56" s="33">
        <v>18065</v>
      </c>
      <c r="D56" s="9"/>
      <c r="E56" s="7">
        <v>22349</v>
      </c>
      <c r="F56" s="9"/>
      <c r="G56" s="41">
        <v>14507</v>
      </c>
      <c r="H56" s="9"/>
      <c r="I56" s="41">
        <v>13761</v>
      </c>
    </row>
    <row r="57" spans="1:12" ht="23.25" customHeight="1" x14ac:dyDescent="0.45">
      <c r="A57" s="4" t="s">
        <v>11</v>
      </c>
      <c r="B57" s="183"/>
      <c r="C57" s="13">
        <f>SUM(C44:C56)</f>
        <v>2969900</v>
      </c>
      <c r="D57" s="12"/>
      <c r="E57" s="13">
        <f>SUM(E44:E56)</f>
        <v>2885221</v>
      </c>
      <c r="F57" s="12"/>
      <c r="G57" s="13">
        <f>SUM(G44:G56)</f>
        <v>4295420</v>
      </c>
      <c r="H57" s="12"/>
      <c r="I57" s="13">
        <f>SUM(I44:I56)</f>
        <v>3986267</v>
      </c>
    </row>
    <row r="58" spans="1:12" ht="23.25" customHeight="1" x14ac:dyDescent="0.45">
      <c r="A58" s="4"/>
      <c r="B58" s="183"/>
      <c r="C58" s="9"/>
      <c r="D58" s="9"/>
      <c r="E58" s="9"/>
      <c r="F58" s="9"/>
      <c r="G58" s="9"/>
      <c r="H58" s="9"/>
      <c r="I58" s="9"/>
    </row>
    <row r="59" spans="1:12" ht="23.25" customHeight="1" x14ac:dyDescent="0.45">
      <c r="A59" s="8" t="s">
        <v>12</v>
      </c>
      <c r="B59" s="183"/>
      <c r="C59" s="9"/>
      <c r="D59" s="9"/>
      <c r="E59" s="9"/>
      <c r="F59" s="9"/>
      <c r="G59" s="9"/>
      <c r="H59" s="9"/>
      <c r="I59" s="9"/>
    </row>
    <row r="60" spans="1:12" ht="23.25" customHeight="1" x14ac:dyDescent="0.45">
      <c r="A60" s="1" t="s">
        <v>132</v>
      </c>
      <c r="B60" s="183">
        <v>12</v>
      </c>
      <c r="C60" s="33">
        <v>3061906</v>
      </c>
      <c r="D60" s="9"/>
      <c r="E60" s="9">
        <v>3322044</v>
      </c>
      <c r="F60" s="9"/>
      <c r="G60" s="40">
        <v>0</v>
      </c>
      <c r="H60" s="9"/>
      <c r="I60" s="40">
        <v>0</v>
      </c>
    </row>
    <row r="61" spans="1:12" ht="23.25" customHeight="1" x14ac:dyDescent="0.45">
      <c r="A61" s="1" t="s">
        <v>43</v>
      </c>
      <c r="B61" s="183">
        <v>12</v>
      </c>
      <c r="C61" s="132">
        <v>3843732</v>
      </c>
      <c r="D61" s="11"/>
      <c r="E61" s="11">
        <v>3842061</v>
      </c>
      <c r="F61" s="11"/>
      <c r="G61" s="11">
        <v>3843732</v>
      </c>
      <c r="H61" s="11"/>
      <c r="I61" s="11">
        <v>3842061</v>
      </c>
      <c r="K61" s="29"/>
    </row>
    <row r="62" spans="1:12" ht="23.25" customHeight="1" x14ac:dyDescent="0.45">
      <c r="A62" s="1" t="s">
        <v>121</v>
      </c>
      <c r="B62" s="183">
        <v>3</v>
      </c>
      <c r="C62" s="132">
        <v>5335815</v>
      </c>
      <c r="D62" s="11"/>
      <c r="E62" s="11">
        <v>5452819</v>
      </c>
      <c r="F62" s="11"/>
      <c r="G62" s="11">
        <v>4188716</v>
      </c>
      <c r="H62" s="11"/>
      <c r="I62" s="11">
        <v>4265779</v>
      </c>
      <c r="K62" s="55"/>
      <c r="L62" s="29"/>
    </row>
    <row r="63" spans="1:12" ht="23.25" customHeight="1" x14ac:dyDescent="0.45">
      <c r="A63" s="1" t="s">
        <v>135</v>
      </c>
      <c r="B63" s="183">
        <v>3</v>
      </c>
      <c r="C63" s="132">
        <f>211512+11251</f>
        <v>222763</v>
      </c>
      <c r="D63" s="9"/>
      <c r="E63" s="11">
        <v>230611</v>
      </c>
      <c r="F63" s="9"/>
      <c r="G63" s="11">
        <v>14166</v>
      </c>
      <c r="H63" s="9"/>
      <c r="I63" s="11">
        <v>15209</v>
      </c>
    </row>
    <row r="64" spans="1:12" ht="23.25" customHeight="1" x14ac:dyDescent="0.45">
      <c r="A64" s="1" t="s">
        <v>134</v>
      </c>
      <c r="B64" s="183"/>
      <c r="C64" s="132">
        <v>1194859</v>
      </c>
      <c r="D64" s="11"/>
      <c r="E64" s="11">
        <v>1150905</v>
      </c>
      <c r="F64" s="11"/>
      <c r="G64" s="11">
        <v>812330</v>
      </c>
      <c r="H64" s="11"/>
      <c r="I64" s="11">
        <v>808309</v>
      </c>
    </row>
    <row r="65" spans="1:12" ht="23.25" customHeight="1" x14ac:dyDescent="0.45">
      <c r="A65" s="1" t="s">
        <v>83</v>
      </c>
      <c r="B65" s="183"/>
      <c r="C65" s="30"/>
      <c r="D65" s="11"/>
      <c r="E65" s="64"/>
      <c r="F65" s="11"/>
      <c r="G65" s="64"/>
      <c r="H65" s="11"/>
      <c r="I65" s="64"/>
      <c r="K65" s="10"/>
      <c r="L65" s="55"/>
    </row>
    <row r="66" spans="1:12" ht="23.25" customHeight="1" x14ac:dyDescent="0.45">
      <c r="A66" s="1" t="s">
        <v>136</v>
      </c>
      <c r="B66" s="183">
        <v>13</v>
      </c>
      <c r="C66" s="132">
        <v>20891</v>
      </c>
      <c r="D66" s="9"/>
      <c r="E66" s="11">
        <v>17627</v>
      </c>
      <c r="F66" s="9"/>
      <c r="G66" s="11">
        <v>18804</v>
      </c>
      <c r="H66" s="9"/>
      <c r="I66" s="11">
        <v>15970</v>
      </c>
    </row>
    <row r="67" spans="1:12" ht="23.25" customHeight="1" x14ac:dyDescent="0.45">
      <c r="A67" s="1" t="s">
        <v>122</v>
      </c>
      <c r="B67" s="183"/>
      <c r="C67" s="132">
        <v>0</v>
      </c>
      <c r="D67" s="9"/>
      <c r="E67" s="11">
        <v>2140</v>
      </c>
      <c r="F67" s="9"/>
      <c r="G67" s="124">
        <v>0</v>
      </c>
      <c r="H67" s="9"/>
      <c r="I67" s="11">
        <v>2140</v>
      </c>
    </row>
    <row r="68" spans="1:12" ht="23.25" customHeight="1" x14ac:dyDescent="0.45">
      <c r="A68" s="4" t="s">
        <v>49</v>
      </c>
      <c r="B68" s="17"/>
      <c r="C68" s="13">
        <f>SUM(C60:C67)</f>
        <v>13679966</v>
      </c>
      <c r="D68" s="15"/>
      <c r="E68" s="13">
        <f>SUM(E60:E67)</f>
        <v>14018207</v>
      </c>
      <c r="F68" s="15"/>
      <c r="G68" s="13">
        <f>SUM(G60:G67)</f>
        <v>8877748</v>
      </c>
      <c r="H68" s="15"/>
      <c r="I68" s="13">
        <f>SUM(I60:I67)</f>
        <v>8949468</v>
      </c>
    </row>
    <row r="69" spans="1:12" ht="23.25" customHeight="1" x14ac:dyDescent="0.45">
      <c r="B69" s="183"/>
      <c r="C69" s="11"/>
      <c r="D69" s="9"/>
      <c r="E69" s="11"/>
      <c r="F69" s="9"/>
      <c r="G69" s="11"/>
      <c r="H69" s="9"/>
      <c r="I69" s="11"/>
    </row>
    <row r="70" spans="1:12" ht="23.25" customHeight="1" x14ac:dyDescent="0.45">
      <c r="A70" s="4" t="s">
        <v>13</v>
      </c>
      <c r="B70" s="183"/>
      <c r="C70" s="35">
        <f>+C57+C68</f>
        <v>16649866</v>
      </c>
      <c r="D70" s="15"/>
      <c r="E70" s="35">
        <f>+E57+E68</f>
        <v>16903428</v>
      </c>
      <c r="F70" s="15"/>
      <c r="G70" s="35">
        <f>+G57+G68</f>
        <v>13173168</v>
      </c>
      <c r="H70" s="15"/>
      <c r="I70" s="35">
        <f>+I57+I68</f>
        <v>12935735</v>
      </c>
    </row>
    <row r="71" spans="1:12" s="16" customFormat="1" ht="23.25" customHeight="1" x14ac:dyDescent="0.45">
      <c r="A71" s="4"/>
      <c r="B71" s="183"/>
      <c r="C71" s="11"/>
      <c r="D71" s="9"/>
      <c r="E71" s="11"/>
      <c r="F71" s="9"/>
      <c r="G71" s="9"/>
      <c r="H71" s="9"/>
      <c r="I71" s="9"/>
    </row>
    <row r="72" spans="1:12" ht="23.25" customHeight="1" x14ac:dyDescent="0.5">
      <c r="A72" s="45" t="s">
        <v>100</v>
      </c>
      <c r="B72" s="19"/>
      <c r="C72" s="37"/>
      <c r="D72" s="37"/>
      <c r="E72" s="37"/>
      <c r="F72" s="37"/>
      <c r="G72" s="37"/>
      <c r="H72" s="37"/>
      <c r="I72" s="37"/>
    </row>
    <row r="73" spans="1:12" ht="23.25" customHeight="1" x14ac:dyDescent="0.5">
      <c r="A73" s="45" t="s">
        <v>55</v>
      </c>
      <c r="B73" s="19"/>
      <c r="C73" s="37"/>
      <c r="D73" s="37"/>
      <c r="E73" s="37"/>
      <c r="F73" s="37"/>
      <c r="G73" s="37"/>
      <c r="H73" s="37"/>
      <c r="I73" s="37"/>
    </row>
    <row r="74" spans="1:12" ht="23.25" customHeight="1" x14ac:dyDescent="0.45">
      <c r="A74" s="4"/>
    </row>
    <row r="75" spans="1:12" s="37" customFormat="1" ht="23.25" customHeight="1" x14ac:dyDescent="0.5">
      <c r="A75" s="1"/>
      <c r="B75" s="183"/>
      <c r="C75" s="188" t="s">
        <v>32</v>
      </c>
      <c r="D75" s="188"/>
      <c r="E75" s="188"/>
      <c r="F75" s="181"/>
      <c r="G75" s="188" t="s">
        <v>47</v>
      </c>
      <c r="H75" s="188"/>
      <c r="I75" s="188"/>
    </row>
    <row r="76" spans="1:12" s="37" customFormat="1" ht="23.25" customHeight="1" x14ac:dyDescent="0.5">
      <c r="A76" s="1"/>
      <c r="B76" s="183"/>
      <c r="C76" s="182" t="s">
        <v>167</v>
      </c>
      <c r="D76" s="182"/>
      <c r="E76" s="182" t="s">
        <v>70</v>
      </c>
      <c r="F76" s="181"/>
      <c r="G76" s="182" t="s">
        <v>167</v>
      </c>
      <c r="H76" s="182"/>
      <c r="I76" s="182" t="s">
        <v>70</v>
      </c>
    </row>
    <row r="77" spans="1:12" ht="23.25" customHeight="1" x14ac:dyDescent="0.5">
      <c r="A77" s="45" t="s">
        <v>9</v>
      </c>
      <c r="B77" s="180"/>
      <c r="C77" s="23">
        <v>2562</v>
      </c>
      <c r="D77" s="23"/>
      <c r="E77" s="23">
        <v>2561</v>
      </c>
      <c r="F77" s="23"/>
      <c r="G77" s="23">
        <v>2562</v>
      </c>
      <c r="H77" s="23"/>
      <c r="I77" s="23">
        <v>2561</v>
      </c>
    </row>
    <row r="78" spans="1:12" ht="23.25" customHeight="1" x14ac:dyDescent="0.5">
      <c r="A78" s="45"/>
      <c r="B78" s="180"/>
      <c r="C78" s="23" t="s">
        <v>98</v>
      </c>
      <c r="D78" s="23"/>
      <c r="E78" s="23"/>
      <c r="F78" s="23"/>
      <c r="G78" s="23" t="s">
        <v>98</v>
      </c>
      <c r="H78" s="23"/>
      <c r="I78" s="23"/>
    </row>
    <row r="79" spans="1:12" ht="23.25" customHeight="1" x14ac:dyDescent="0.45">
      <c r="B79" s="180"/>
      <c r="C79" s="187" t="s">
        <v>88</v>
      </c>
      <c r="D79" s="187"/>
      <c r="E79" s="187"/>
      <c r="F79" s="187"/>
      <c r="G79" s="187"/>
      <c r="H79" s="187"/>
      <c r="I79" s="187"/>
    </row>
    <row r="80" spans="1:12" ht="23.25" customHeight="1" x14ac:dyDescent="0.45">
      <c r="A80" s="8" t="s">
        <v>14</v>
      </c>
      <c r="B80" s="183"/>
      <c r="C80" s="6"/>
      <c r="D80" s="6"/>
      <c r="E80" s="6"/>
      <c r="F80" s="6"/>
      <c r="G80" s="6"/>
      <c r="H80" s="6"/>
      <c r="I80" s="6"/>
    </row>
    <row r="81" spans="1:12" ht="23.25" customHeight="1" x14ac:dyDescent="0.45">
      <c r="A81" s="1" t="s">
        <v>0</v>
      </c>
      <c r="B81" s="183"/>
      <c r="C81" s="9"/>
      <c r="D81" s="9"/>
      <c r="E81" s="9"/>
      <c r="F81" s="9"/>
      <c r="G81" s="9"/>
      <c r="H81" s="9"/>
      <c r="I81" s="9"/>
    </row>
    <row r="82" spans="1:12" ht="23.25" customHeight="1" thickBot="1" x14ac:dyDescent="0.5">
      <c r="A82" s="1" t="s">
        <v>33</v>
      </c>
      <c r="B82" s="183"/>
      <c r="C82" s="36">
        <v>6535484</v>
      </c>
      <c r="D82" s="9"/>
      <c r="E82" s="36">
        <v>6535484</v>
      </c>
      <c r="F82" s="9"/>
      <c r="G82" s="36">
        <v>6535484</v>
      </c>
      <c r="H82" s="9"/>
      <c r="I82" s="36">
        <v>6535484</v>
      </c>
    </row>
    <row r="83" spans="1:12" ht="23.25" customHeight="1" thickTop="1" x14ac:dyDescent="0.45">
      <c r="A83" s="1" t="s">
        <v>34</v>
      </c>
      <c r="B83" s="183"/>
      <c r="C83" s="9">
        <v>6499830</v>
      </c>
      <c r="D83" s="9"/>
      <c r="E83" s="9">
        <v>6499830</v>
      </c>
      <c r="F83" s="9"/>
      <c r="G83" s="9">
        <v>6499830</v>
      </c>
      <c r="H83" s="9"/>
      <c r="I83" s="9">
        <v>6499830</v>
      </c>
    </row>
    <row r="84" spans="1:12" ht="23.25" customHeight="1" x14ac:dyDescent="0.45">
      <c r="A84" s="1" t="s">
        <v>57</v>
      </c>
      <c r="B84" s="183"/>
      <c r="C84" s="9">
        <v>1532321</v>
      </c>
      <c r="D84" s="9"/>
      <c r="E84" s="9">
        <v>1532321</v>
      </c>
      <c r="F84" s="9"/>
      <c r="G84" s="9">
        <v>1532321</v>
      </c>
      <c r="H84" s="9"/>
      <c r="I84" s="9">
        <v>1532321</v>
      </c>
    </row>
    <row r="85" spans="1:12" ht="23.25" customHeight="1" x14ac:dyDescent="0.45">
      <c r="A85" s="1" t="s">
        <v>137</v>
      </c>
      <c r="B85" s="183"/>
      <c r="C85" s="9"/>
      <c r="D85" s="9"/>
      <c r="E85" s="9"/>
      <c r="F85" s="9"/>
      <c r="G85" s="9"/>
      <c r="H85" s="9"/>
      <c r="I85" s="9"/>
    </row>
    <row r="86" spans="1:12" ht="23.25" customHeight="1" x14ac:dyDescent="0.45">
      <c r="A86" s="1" t="s">
        <v>138</v>
      </c>
      <c r="B86" s="183"/>
      <c r="C86" s="9">
        <v>-423185</v>
      </c>
      <c r="D86" s="9"/>
      <c r="E86" s="9">
        <v>-423185</v>
      </c>
      <c r="F86" s="9"/>
      <c r="G86" s="40">
        <v>0</v>
      </c>
      <c r="H86" s="9"/>
      <c r="I86" s="40">
        <v>0</v>
      </c>
    </row>
    <row r="87" spans="1:12" ht="23.25" customHeight="1" x14ac:dyDescent="0.45">
      <c r="A87" s="1" t="s">
        <v>139</v>
      </c>
      <c r="B87" s="183"/>
      <c r="C87" s="9">
        <v>-129337</v>
      </c>
      <c r="D87" s="9"/>
      <c r="E87" s="9">
        <v>-129337</v>
      </c>
      <c r="F87" s="9"/>
      <c r="G87" s="40">
        <v>0</v>
      </c>
      <c r="H87" s="9"/>
      <c r="I87" s="40">
        <v>0</v>
      </c>
    </row>
    <row r="88" spans="1:12" ht="23.25" customHeight="1" x14ac:dyDescent="0.45">
      <c r="A88" s="1" t="s">
        <v>15</v>
      </c>
      <c r="B88" s="183"/>
      <c r="C88" s="9"/>
      <c r="D88" s="9"/>
      <c r="E88" s="9"/>
      <c r="F88" s="9"/>
      <c r="G88" s="9"/>
      <c r="H88" s="9"/>
      <c r="I88" s="9"/>
    </row>
    <row r="89" spans="1:12" ht="23.25" customHeight="1" x14ac:dyDescent="0.45">
      <c r="A89" s="1" t="s">
        <v>71</v>
      </c>
      <c r="B89" s="183"/>
      <c r="C89" s="9"/>
      <c r="D89" s="9"/>
      <c r="E89" s="9"/>
      <c r="F89" s="9"/>
      <c r="G89" s="9"/>
      <c r="H89" s="9"/>
      <c r="I89" s="9"/>
    </row>
    <row r="90" spans="1:12" ht="23.25" customHeight="1" x14ac:dyDescent="0.45">
      <c r="A90" s="1" t="s">
        <v>58</v>
      </c>
      <c r="B90" s="183"/>
      <c r="C90" s="59">
        <v>503800</v>
      </c>
      <c r="D90" s="11"/>
      <c r="E90" s="59">
        <v>503800</v>
      </c>
      <c r="F90" s="11"/>
      <c r="G90" s="59">
        <v>366900</v>
      </c>
      <c r="H90" s="9"/>
      <c r="I90" s="59">
        <v>366900</v>
      </c>
    </row>
    <row r="91" spans="1:12" ht="23.25" customHeight="1" x14ac:dyDescent="0.45">
      <c r="A91" s="38" t="s">
        <v>44</v>
      </c>
      <c r="B91" s="183"/>
      <c r="C91" s="11">
        <f>'SH-11'!M20</f>
        <v>3941989</v>
      </c>
      <c r="D91" s="11"/>
      <c r="E91" s="11">
        <v>3627201</v>
      </c>
      <c r="F91" s="11"/>
      <c r="G91" s="11">
        <f>'SH-13'!J16</f>
        <v>2933102</v>
      </c>
      <c r="H91" s="11"/>
      <c r="I91" s="11">
        <v>2885502</v>
      </c>
      <c r="K91" s="10"/>
      <c r="L91" s="130"/>
    </row>
    <row r="92" spans="1:12" ht="23.25" customHeight="1" x14ac:dyDescent="0.45">
      <c r="A92" s="1" t="s">
        <v>59</v>
      </c>
      <c r="B92" s="183"/>
      <c r="C92" s="5">
        <v>-24927</v>
      </c>
      <c r="D92" s="9"/>
      <c r="E92" s="5">
        <v>-24927</v>
      </c>
      <c r="F92" s="9"/>
      <c r="G92" s="122">
        <v>0</v>
      </c>
      <c r="H92" s="9"/>
      <c r="I92" s="125">
        <v>0</v>
      </c>
    </row>
    <row r="93" spans="1:12" ht="23.25" customHeight="1" x14ac:dyDescent="0.45">
      <c r="A93" s="4" t="s">
        <v>76</v>
      </c>
      <c r="B93" s="183"/>
      <c r="C93" s="12">
        <f>SUM(C83:C92)</f>
        <v>11900491</v>
      </c>
      <c r="D93" s="12"/>
      <c r="E93" s="12">
        <f>SUM(E83:E92)</f>
        <v>11585703</v>
      </c>
      <c r="F93" s="12"/>
      <c r="G93" s="12">
        <f>SUM(G83:G92)</f>
        <v>11332153</v>
      </c>
      <c r="H93" s="12"/>
      <c r="I93" s="12">
        <f>SUM(I83:I92)</f>
        <v>11284553</v>
      </c>
      <c r="L93" s="29"/>
    </row>
    <row r="94" spans="1:12" ht="23.25" customHeight="1" x14ac:dyDescent="0.45">
      <c r="A94" s="1" t="s">
        <v>60</v>
      </c>
      <c r="B94" s="183"/>
      <c r="C94" s="31">
        <v>810668</v>
      </c>
      <c r="D94" s="9"/>
      <c r="E94" s="31">
        <v>774099</v>
      </c>
      <c r="F94" s="9"/>
      <c r="G94" s="34">
        <v>0</v>
      </c>
      <c r="H94" s="9"/>
      <c r="I94" s="34">
        <v>0</v>
      </c>
      <c r="L94" s="143"/>
    </row>
    <row r="95" spans="1:12" ht="23.25" customHeight="1" x14ac:dyDescent="0.45">
      <c r="A95" s="4" t="s">
        <v>16</v>
      </c>
      <c r="B95" s="183"/>
      <c r="C95" s="13">
        <f>SUM(C93:C94)</f>
        <v>12711159</v>
      </c>
      <c r="D95" s="9"/>
      <c r="E95" s="13">
        <f>SUM(E93:E94)</f>
        <v>12359802</v>
      </c>
      <c r="F95" s="9"/>
      <c r="G95" s="13">
        <f>SUM(G93:G94)</f>
        <v>11332153</v>
      </c>
      <c r="H95" s="9"/>
      <c r="I95" s="13">
        <f>SUM(I93:I94)</f>
        <v>11284553</v>
      </c>
    </row>
    <row r="96" spans="1:12" ht="23.25" customHeight="1" x14ac:dyDescent="0.45">
      <c r="A96" s="4"/>
      <c r="B96" s="183"/>
      <c r="C96" s="12"/>
      <c r="D96" s="9"/>
      <c r="E96" s="12"/>
      <c r="F96" s="9"/>
      <c r="G96" s="12"/>
      <c r="H96" s="9"/>
      <c r="I96" s="12"/>
    </row>
    <row r="97" spans="1:9" ht="23.25" customHeight="1" thickBot="1" x14ac:dyDescent="0.5">
      <c r="A97" s="4" t="s">
        <v>17</v>
      </c>
      <c r="B97" s="183"/>
      <c r="C97" s="14">
        <f>+C70+C95</f>
        <v>29361025</v>
      </c>
      <c r="D97" s="11"/>
      <c r="E97" s="14">
        <f>+E70+E95</f>
        <v>29263230</v>
      </c>
      <c r="F97" s="11"/>
      <c r="G97" s="14">
        <f>+G70+G95</f>
        <v>24505321</v>
      </c>
      <c r="H97" s="11"/>
      <c r="I97" s="14">
        <f>+I70+I95</f>
        <v>24220288</v>
      </c>
    </row>
    <row r="98" spans="1:9" ht="23.25" customHeight="1" thickTop="1" x14ac:dyDescent="0.45">
      <c r="A98" s="4"/>
      <c r="B98" s="183"/>
      <c r="C98" s="61"/>
      <c r="D98" s="39"/>
      <c r="E98" s="61"/>
      <c r="F98" s="39"/>
      <c r="G98" s="40"/>
      <c r="H98" s="9"/>
      <c r="I98" s="40"/>
    </row>
    <row r="99" spans="1:9" ht="23.25" customHeight="1" x14ac:dyDescent="0.45">
      <c r="C99" s="29">
        <f>C33-C97</f>
        <v>0</v>
      </c>
      <c r="E99" s="29">
        <f>E33-E97</f>
        <v>0</v>
      </c>
      <c r="G99" s="29">
        <f>G33-G97</f>
        <v>0</v>
      </c>
      <c r="I99" s="29">
        <f>I33-I97</f>
        <v>0</v>
      </c>
    </row>
    <row r="100" spans="1:9" ht="23.25" customHeight="1" x14ac:dyDescent="0.45">
      <c r="C100" s="29"/>
      <c r="E100" s="29"/>
    </row>
  </sheetData>
  <mergeCells count="9">
    <mergeCell ref="C79:I79"/>
    <mergeCell ref="G4:I4"/>
    <mergeCell ref="G38:I38"/>
    <mergeCell ref="C42:I42"/>
    <mergeCell ref="G75:I75"/>
    <mergeCell ref="C8:I8"/>
    <mergeCell ref="C4:E4"/>
    <mergeCell ref="C38:E38"/>
    <mergeCell ref="C75:E75"/>
  </mergeCells>
  <phoneticPr fontId="4" type="noConversion"/>
  <pageMargins left="0.8" right="0.8" top="0.48" bottom="0.5" header="0.5" footer="0.5"/>
  <pageSetup paperSize="9" scale="82" firstPageNumber="3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หมายเหตุประกอบงบการเงินเป็นส่วนหนึ่งของงบการเงินระหว่างกาลนี้&amp;16
&amp;C&amp;15
&amp;P&amp;R&amp;"Angsana New,Italic"&amp;15
</oddFooter>
  </headerFooter>
  <rowBreaks count="2" manualBreakCount="2">
    <brk id="34" max="16383" man="1"/>
    <brk id="7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10"/>
  <sheetViews>
    <sheetView view="pageBreakPreview" topLeftCell="A25" zoomScale="80" zoomScaleNormal="90" zoomScaleSheetLayoutView="80" workbookViewId="0">
      <selection activeCell="I111" sqref="I111"/>
    </sheetView>
  </sheetViews>
  <sheetFormatPr defaultColWidth="9.28515625" defaultRowHeight="23.25" customHeight="1" x14ac:dyDescent="0.45"/>
  <cols>
    <col min="1" max="1" width="45.5703125" style="1" customWidth="1"/>
    <col min="2" max="2" width="9.5703125" style="66" bestFit="1" customWidth="1"/>
    <col min="3" max="3" width="12.7109375" style="3" customWidth="1"/>
    <col min="4" max="4" width="0.7109375" style="3" customWidth="1"/>
    <col min="5" max="5" width="12.7109375" style="3" customWidth="1"/>
    <col min="6" max="6" width="0.7109375" style="3" customWidth="1"/>
    <col min="7" max="7" width="12.7109375" style="3" customWidth="1"/>
    <col min="8" max="8" width="0.7109375" style="3" customWidth="1"/>
    <col min="9" max="9" width="12.7109375" style="3" customWidth="1"/>
    <col min="10" max="10" width="12.7109375" style="41" hidden="1" customWidth="1"/>
    <col min="11" max="15" width="9.28515625" style="3" hidden="1" customWidth="1"/>
    <col min="16" max="16" width="9.7109375" style="3" hidden="1" customWidth="1"/>
    <col min="17" max="17" width="10.28515625" style="3" hidden="1" customWidth="1"/>
    <col min="18" max="18" width="9.28515625" style="3" hidden="1" customWidth="1"/>
    <col min="19" max="19" width="11.5703125" style="3" bestFit="1" customWidth="1"/>
    <col min="20" max="20" width="2.28515625" style="3" customWidth="1"/>
    <col min="21" max="21" width="12.28515625" style="3" bestFit="1" customWidth="1"/>
    <col min="22" max="16384" width="9.28515625" style="3"/>
  </cols>
  <sheetData>
    <row r="1" spans="1:19" ht="23.25" customHeight="1" x14ac:dyDescent="0.5">
      <c r="A1" s="45" t="s">
        <v>100</v>
      </c>
    </row>
    <row r="2" spans="1:19" ht="23.25" customHeight="1" x14ac:dyDescent="0.5">
      <c r="A2" s="45" t="s">
        <v>86</v>
      </c>
      <c r="B2" s="67"/>
      <c r="C2" s="20"/>
      <c r="D2" s="149"/>
      <c r="E2" s="20"/>
    </row>
    <row r="3" spans="1:19" ht="15" customHeight="1" x14ac:dyDescent="0.45"/>
    <row r="4" spans="1:19" ht="23.25" customHeight="1" x14ac:dyDescent="0.45">
      <c r="C4" s="188" t="s">
        <v>32</v>
      </c>
      <c r="D4" s="188"/>
      <c r="E4" s="188"/>
      <c r="F4" s="149"/>
      <c r="G4" s="188" t="s">
        <v>47</v>
      </c>
      <c r="H4" s="188"/>
      <c r="I4" s="188"/>
    </row>
    <row r="5" spans="1:19" ht="23.25" customHeight="1" x14ac:dyDescent="0.45">
      <c r="C5" s="189" t="s">
        <v>87</v>
      </c>
      <c r="D5" s="189"/>
      <c r="E5" s="189"/>
      <c r="F5" s="150"/>
      <c r="G5" s="189" t="s">
        <v>87</v>
      </c>
      <c r="H5" s="189"/>
      <c r="I5" s="189"/>
    </row>
    <row r="6" spans="1:19" ht="23.25" customHeight="1" x14ac:dyDescent="0.45">
      <c r="C6" s="189" t="s">
        <v>168</v>
      </c>
      <c r="D6" s="189"/>
      <c r="E6" s="189"/>
      <c r="F6" s="150"/>
      <c r="G6" s="189" t="s">
        <v>168</v>
      </c>
      <c r="H6" s="189"/>
      <c r="I6" s="189"/>
    </row>
    <row r="7" spans="1:19" ht="23.25" customHeight="1" x14ac:dyDescent="0.45">
      <c r="A7" s="4"/>
      <c r="B7" s="68" t="s">
        <v>1</v>
      </c>
      <c r="C7" s="184">
        <v>2562</v>
      </c>
      <c r="D7" s="150"/>
      <c r="E7" s="150">
        <v>2561</v>
      </c>
      <c r="F7" s="150"/>
      <c r="G7" s="150">
        <v>2562</v>
      </c>
      <c r="H7" s="150"/>
      <c r="I7" s="150">
        <v>2561</v>
      </c>
    </row>
    <row r="8" spans="1:19" ht="23.25" customHeight="1" x14ac:dyDescent="0.45">
      <c r="B8" s="68"/>
      <c r="C8" s="190" t="s">
        <v>88</v>
      </c>
      <c r="D8" s="190"/>
      <c r="E8" s="190"/>
      <c r="F8" s="190"/>
      <c r="G8" s="190"/>
      <c r="H8" s="190"/>
      <c r="I8" s="190"/>
    </row>
    <row r="9" spans="1:19" ht="23.25" customHeight="1" x14ac:dyDescent="0.45">
      <c r="A9" s="8" t="s">
        <v>24</v>
      </c>
      <c r="C9" s="6"/>
      <c r="D9" s="6"/>
      <c r="E9" s="6"/>
      <c r="F9" s="6"/>
      <c r="G9" s="6"/>
      <c r="H9" s="6"/>
      <c r="I9" s="6"/>
      <c r="J9" s="41" t="s">
        <v>149</v>
      </c>
      <c r="Q9" s="3" t="s">
        <v>205</v>
      </c>
    </row>
    <row r="10" spans="1:19" ht="23.25" customHeight="1" x14ac:dyDescent="0.45">
      <c r="A10" s="1" t="s">
        <v>102</v>
      </c>
      <c r="B10" s="66" t="s">
        <v>215</v>
      </c>
      <c r="C10" s="144">
        <v>300789</v>
      </c>
      <c r="D10" s="6"/>
      <c r="E10" s="33">
        <v>308443</v>
      </c>
      <c r="F10" s="6"/>
      <c r="G10" s="33">
        <v>70015</v>
      </c>
      <c r="H10" s="6"/>
      <c r="I10" s="33">
        <v>71405</v>
      </c>
      <c r="K10" s="55"/>
      <c r="P10" s="55">
        <f>G65-Q10</f>
        <v>69979</v>
      </c>
      <c r="Q10" s="41">
        <v>74314</v>
      </c>
      <c r="R10" s="41">
        <f>G10-P10</f>
        <v>36</v>
      </c>
      <c r="S10" s="41"/>
    </row>
    <row r="11" spans="1:19" ht="23.25" customHeight="1" x14ac:dyDescent="0.45">
      <c r="A11" s="1" t="s">
        <v>25</v>
      </c>
      <c r="B11" s="66">
        <v>14</v>
      </c>
      <c r="C11" s="33">
        <v>84244</v>
      </c>
      <c r="D11" s="9"/>
      <c r="E11" s="9">
        <v>54462</v>
      </c>
      <c r="F11" s="9"/>
      <c r="G11" s="33">
        <v>0</v>
      </c>
      <c r="H11" s="9"/>
      <c r="I11" s="33">
        <v>0</v>
      </c>
      <c r="K11" s="55"/>
      <c r="P11" s="55">
        <f>G66-Q11</f>
        <v>0</v>
      </c>
      <c r="Q11" s="41">
        <v>0</v>
      </c>
      <c r="R11" s="41">
        <f>G11-P11</f>
        <v>0</v>
      </c>
    </row>
    <row r="12" spans="1:19" ht="23.25" customHeight="1" x14ac:dyDescent="0.45">
      <c r="A12" s="1" t="s">
        <v>101</v>
      </c>
      <c r="B12" s="66">
        <v>3</v>
      </c>
      <c r="C12" s="33">
        <v>90054</v>
      </c>
      <c r="D12" s="9"/>
      <c r="E12" s="9">
        <v>64945</v>
      </c>
      <c r="F12" s="9"/>
      <c r="G12" s="52">
        <v>84241</v>
      </c>
      <c r="H12" s="9"/>
      <c r="I12" s="33">
        <v>79601</v>
      </c>
      <c r="K12" s="55"/>
      <c r="P12" s="55">
        <f>G67-Q12</f>
        <v>84241</v>
      </c>
      <c r="Q12" s="41">
        <v>80913</v>
      </c>
      <c r="R12" s="41">
        <f>G12-P12</f>
        <v>0</v>
      </c>
    </row>
    <row r="13" spans="1:19" ht="23.25" customHeight="1" x14ac:dyDescent="0.45">
      <c r="A13" s="1" t="s">
        <v>26</v>
      </c>
      <c r="B13" s="66" t="s">
        <v>214</v>
      </c>
      <c r="C13" s="145">
        <v>10523</v>
      </c>
      <c r="D13" s="9"/>
      <c r="E13" s="5">
        <v>7249</v>
      </c>
      <c r="F13" s="9"/>
      <c r="G13" s="123">
        <v>14143</v>
      </c>
      <c r="H13" s="9"/>
      <c r="I13" s="123">
        <v>3864</v>
      </c>
      <c r="K13" s="55"/>
      <c r="P13" s="55">
        <f>G68-Q13</f>
        <v>14179</v>
      </c>
      <c r="Q13" s="41">
        <v>15095</v>
      </c>
      <c r="R13" s="41">
        <f>G13-P13</f>
        <v>-36</v>
      </c>
    </row>
    <row r="14" spans="1:19" ht="23.25" customHeight="1" x14ac:dyDescent="0.45">
      <c r="A14" s="4" t="s">
        <v>27</v>
      </c>
      <c r="C14" s="133">
        <f>SUM(C10:C13)</f>
        <v>485610</v>
      </c>
      <c r="D14" s="15"/>
      <c r="E14" s="35">
        <f>SUM(E10:E13)</f>
        <v>435099</v>
      </c>
      <c r="F14" s="15"/>
      <c r="G14" s="35">
        <f>SUM(G10:G13)</f>
        <v>168399</v>
      </c>
      <c r="H14" s="15"/>
      <c r="I14" s="35">
        <f>SUM(I10:I13)</f>
        <v>154870</v>
      </c>
      <c r="J14" s="35">
        <f>SUM(J10:J13)</f>
        <v>0</v>
      </c>
    </row>
    <row r="15" spans="1:19" ht="23.25" customHeight="1" x14ac:dyDescent="0.45">
      <c r="C15" s="9"/>
      <c r="D15" s="9"/>
      <c r="E15" s="9"/>
      <c r="F15" s="9"/>
      <c r="G15" s="9"/>
      <c r="H15" s="9"/>
      <c r="I15" s="9"/>
    </row>
    <row r="16" spans="1:19" ht="23.25" customHeight="1" x14ac:dyDescent="0.45">
      <c r="A16" s="8" t="s">
        <v>28</v>
      </c>
      <c r="C16" s="69"/>
      <c r="D16" s="9"/>
      <c r="E16" s="69"/>
      <c r="F16" s="9"/>
      <c r="G16" s="69"/>
      <c r="H16" s="9"/>
      <c r="I16" s="69"/>
    </row>
    <row r="17" spans="1:21" ht="23.25" customHeight="1" x14ac:dyDescent="0.45">
      <c r="A17" s="1" t="s">
        <v>103</v>
      </c>
      <c r="B17" s="66" t="s">
        <v>214</v>
      </c>
      <c r="C17" s="41">
        <f>91785</f>
        <v>91785</v>
      </c>
      <c r="D17" s="9"/>
      <c r="E17" s="9">
        <v>110023</v>
      </c>
      <c r="F17" s="9"/>
      <c r="G17" s="33">
        <f>13325</f>
        <v>13325</v>
      </c>
      <c r="H17" s="9"/>
      <c r="I17" s="9">
        <v>10012</v>
      </c>
      <c r="J17" s="41">
        <v>147683</v>
      </c>
      <c r="K17" s="55">
        <f>G17-I17</f>
        <v>3313</v>
      </c>
      <c r="L17" s="131">
        <f>G17/G10</f>
        <v>0.19031636077983288</v>
      </c>
      <c r="M17" s="130">
        <f>I17/I10</f>
        <v>0.14021427070933409</v>
      </c>
      <c r="O17" s="3">
        <v>5583</v>
      </c>
      <c r="P17" s="55">
        <f t="shared" ref="P17:P23" si="0">G72-Q17</f>
        <v>-994</v>
      </c>
      <c r="Q17" s="41">
        <v>24365</v>
      </c>
      <c r="R17" s="41">
        <f t="shared" ref="R17:R23" si="1">G17-P17</f>
        <v>14319</v>
      </c>
    </row>
    <row r="18" spans="1:21" ht="23.25" customHeight="1" x14ac:dyDescent="0.45">
      <c r="A18" s="1" t="s">
        <v>29</v>
      </c>
      <c r="C18" s="33">
        <v>25296</v>
      </c>
      <c r="D18" s="9"/>
      <c r="E18" s="9">
        <v>15606</v>
      </c>
      <c r="F18" s="9"/>
      <c r="G18" s="40">
        <v>0</v>
      </c>
      <c r="H18" s="9"/>
      <c r="I18" s="40">
        <v>0</v>
      </c>
      <c r="P18" s="55">
        <f t="shared" si="0"/>
        <v>0</v>
      </c>
      <c r="Q18" s="41">
        <v>0</v>
      </c>
      <c r="R18" s="41">
        <f t="shared" si="1"/>
        <v>0</v>
      </c>
    </row>
    <row r="19" spans="1:21" ht="23.25" customHeight="1" x14ac:dyDescent="0.45">
      <c r="A19" s="1" t="s">
        <v>152</v>
      </c>
      <c r="C19" s="33">
        <v>1897</v>
      </c>
      <c r="D19" s="9"/>
      <c r="E19" s="9">
        <v>10484</v>
      </c>
      <c r="F19" s="9"/>
      <c r="G19" s="9">
        <v>218</v>
      </c>
      <c r="H19" s="11"/>
      <c r="I19" s="9">
        <v>2482</v>
      </c>
      <c r="J19" s="41">
        <v>6559</v>
      </c>
      <c r="P19" s="55">
        <f t="shared" si="0"/>
        <v>117</v>
      </c>
      <c r="Q19" s="41">
        <v>92</v>
      </c>
      <c r="R19" s="41">
        <f t="shared" si="1"/>
        <v>101</v>
      </c>
    </row>
    <row r="20" spans="1:21" ht="23.25" customHeight="1" x14ac:dyDescent="0.45">
      <c r="A20" s="1" t="s">
        <v>51</v>
      </c>
      <c r="B20" s="66" t="s">
        <v>214</v>
      </c>
      <c r="C20" s="132">
        <f>84752</f>
        <v>84752</v>
      </c>
      <c r="D20" s="11"/>
      <c r="E20" s="11">
        <v>81865</v>
      </c>
      <c r="F20" s="11"/>
      <c r="G20" s="9">
        <f>10675</f>
        <v>10675</v>
      </c>
      <c r="H20" s="11"/>
      <c r="I20" s="9">
        <v>66887</v>
      </c>
      <c r="J20" s="41">
        <v>117698</v>
      </c>
      <c r="P20" s="55">
        <f t="shared" si="0"/>
        <v>25019</v>
      </c>
      <c r="Q20" s="41">
        <v>34405</v>
      </c>
      <c r="R20" s="41">
        <f t="shared" si="1"/>
        <v>-14344</v>
      </c>
    </row>
    <row r="21" spans="1:21" ht="23.25" customHeight="1" x14ac:dyDescent="0.45">
      <c r="A21" s="1" t="s">
        <v>151</v>
      </c>
      <c r="P21" s="55">
        <f t="shared" si="0"/>
        <v>0</v>
      </c>
      <c r="Q21" s="41"/>
      <c r="R21" s="41">
        <f t="shared" si="1"/>
        <v>0</v>
      </c>
    </row>
    <row r="22" spans="1:21" ht="23.25" customHeight="1" x14ac:dyDescent="0.45">
      <c r="A22" s="3" t="s">
        <v>165</v>
      </c>
      <c r="B22" s="66">
        <v>10</v>
      </c>
      <c r="C22" s="132">
        <v>1888</v>
      </c>
      <c r="D22" s="11"/>
      <c r="E22" s="11">
        <v>5185</v>
      </c>
      <c r="F22" s="11"/>
      <c r="G22" s="33">
        <v>13521</v>
      </c>
      <c r="H22" s="11"/>
      <c r="I22" s="9">
        <v>14620</v>
      </c>
      <c r="P22" s="55">
        <f t="shared" si="0"/>
        <v>13521</v>
      </c>
      <c r="Q22" s="41">
        <v>11171</v>
      </c>
      <c r="R22" s="41">
        <f t="shared" si="1"/>
        <v>0</v>
      </c>
    </row>
    <row r="23" spans="1:21" ht="23.25" customHeight="1" x14ac:dyDescent="0.45">
      <c r="A23" s="1" t="s">
        <v>52</v>
      </c>
      <c r="B23" s="66">
        <v>3</v>
      </c>
      <c r="C23" s="134">
        <v>88942</v>
      </c>
      <c r="D23" s="11"/>
      <c r="E23" s="11">
        <v>94304</v>
      </c>
      <c r="F23" s="11"/>
      <c r="G23" s="9">
        <v>89386</v>
      </c>
      <c r="H23" s="11"/>
      <c r="I23" s="9">
        <v>93973</v>
      </c>
      <c r="J23" s="41">
        <v>362816</v>
      </c>
      <c r="P23" s="55">
        <f t="shared" si="0"/>
        <v>89462</v>
      </c>
      <c r="Q23" s="41">
        <v>89942</v>
      </c>
      <c r="R23" s="41">
        <f t="shared" si="1"/>
        <v>-76</v>
      </c>
    </row>
    <row r="24" spans="1:21" ht="23.25" customHeight="1" x14ac:dyDescent="0.45">
      <c r="A24" s="4" t="s">
        <v>30</v>
      </c>
      <c r="C24" s="135">
        <f>SUM(C17:C23)</f>
        <v>294560</v>
      </c>
      <c r="D24" s="15"/>
      <c r="E24" s="13">
        <f>SUM(E17:E23)</f>
        <v>317467</v>
      </c>
      <c r="F24" s="15"/>
      <c r="G24" s="13">
        <f>SUM(G17:G23)</f>
        <v>127125</v>
      </c>
      <c r="H24" s="15"/>
      <c r="I24" s="13">
        <f>SUM(I17:I23)</f>
        <v>187974</v>
      </c>
      <c r="J24" s="13">
        <f>SUM(J17:J23)</f>
        <v>634756</v>
      </c>
    </row>
    <row r="25" spans="1:21" ht="23.25" customHeight="1" x14ac:dyDescent="0.45">
      <c r="A25" s="4"/>
      <c r="C25" s="12"/>
      <c r="D25" s="15"/>
      <c r="E25" s="12"/>
      <c r="F25" s="15"/>
      <c r="G25" s="12"/>
      <c r="H25" s="15"/>
      <c r="I25" s="12"/>
    </row>
    <row r="26" spans="1:21" ht="23.25" customHeight="1" x14ac:dyDescent="0.45">
      <c r="A26" s="1" t="s">
        <v>216</v>
      </c>
      <c r="C26" s="12"/>
      <c r="D26" s="15"/>
      <c r="E26" s="12"/>
      <c r="F26" s="15"/>
      <c r="G26" s="12"/>
      <c r="H26" s="15"/>
      <c r="I26" s="12"/>
    </row>
    <row r="27" spans="1:21" ht="23.25" customHeight="1" x14ac:dyDescent="0.45">
      <c r="A27" s="1" t="s">
        <v>160</v>
      </c>
      <c r="B27" s="66">
        <v>8</v>
      </c>
      <c r="C27" s="145">
        <f>17038</f>
        <v>17038</v>
      </c>
      <c r="D27" s="9"/>
      <c r="E27" s="5">
        <f>11883-64470</f>
        <v>-52587</v>
      </c>
      <c r="F27" s="9"/>
      <c r="G27" s="122">
        <v>0</v>
      </c>
      <c r="H27" s="9"/>
      <c r="I27" s="125">
        <v>0</v>
      </c>
    </row>
    <row r="28" spans="1:21" ht="23.25" customHeight="1" x14ac:dyDescent="0.45">
      <c r="A28" s="4" t="s">
        <v>180</v>
      </c>
      <c r="C28" s="15">
        <f>+C14-C24+SUM(C27)</f>
        <v>208088</v>
      </c>
      <c r="D28" s="15"/>
      <c r="E28" s="15">
        <f>+E14-E24+SUM(E27)</f>
        <v>65045</v>
      </c>
      <c r="F28" s="15"/>
      <c r="G28" s="15">
        <f>+G14-G24+SUM(G27)</f>
        <v>41274</v>
      </c>
      <c r="H28" s="15"/>
      <c r="I28" s="15">
        <f>+I14-I24+SUM(I27)</f>
        <v>-33104</v>
      </c>
      <c r="J28" s="15" t="e">
        <f>+J14-J24+SUM(#REF!)</f>
        <v>#REF!</v>
      </c>
      <c r="R28" s="141"/>
      <c r="S28" s="41"/>
      <c r="U28" s="41"/>
    </row>
    <row r="29" spans="1:21" ht="23.25" customHeight="1" x14ac:dyDescent="0.45">
      <c r="A29" s="1" t="s">
        <v>172</v>
      </c>
      <c r="B29" s="66">
        <v>15</v>
      </c>
      <c r="C29" s="146">
        <v>44702</v>
      </c>
      <c r="D29" s="9"/>
      <c r="E29" s="41">
        <v>28395</v>
      </c>
      <c r="F29" s="9"/>
      <c r="G29" s="41">
        <v>1783</v>
      </c>
      <c r="H29" s="9"/>
      <c r="I29" s="41">
        <v>-5178</v>
      </c>
      <c r="P29" s="55">
        <f>G84-Q29</f>
        <v>6259</v>
      </c>
      <c r="Q29" s="41">
        <v>-2238</v>
      </c>
      <c r="R29" s="41">
        <f>G29-P29</f>
        <v>-4476</v>
      </c>
      <c r="S29" s="71"/>
      <c r="U29" s="41"/>
    </row>
    <row r="30" spans="1:21" ht="23.25" customHeight="1" thickBot="1" x14ac:dyDescent="0.5">
      <c r="A30" s="4" t="s">
        <v>173</v>
      </c>
      <c r="B30" s="70"/>
      <c r="C30" s="152">
        <f>C28-C29</f>
        <v>163386</v>
      </c>
      <c r="D30" s="12"/>
      <c r="E30" s="152">
        <f>E28-E29</f>
        <v>36650</v>
      </c>
      <c r="F30" s="12"/>
      <c r="G30" s="152">
        <f>G28-G29</f>
        <v>39491</v>
      </c>
      <c r="H30" s="12"/>
      <c r="I30" s="152">
        <f>I28-I29</f>
        <v>-27926</v>
      </c>
      <c r="J30" s="32" t="e">
        <f>SUM(J28:J29)</f>
        <v>#REF!</v>
      </c>
      <c r="R30" s="141"/>
      <c r="S30" s="41"/>
      <c r="U30" s="41"/>
    </row>
    <row r="31" spans="1:21" ht="23.25" customHeight="1" thickTop="1" x14ac:dyDescent="0.45">
      <c r="A31" s="4" t="s">
        <v>150</v>
      </c>
      <c r="B31" s="68"/>
      <c r="C31" s="125">
        <v>0</v>
      </c>
      <c r="D31" s="151"/>
      <c r="E31" s="125">
        <v>0</v>
      </c>
      <c r="F31" s="151"/>
      <c r="G31" s="125">
        <v>0</v>
      </c>
      <c r="H31" s="151"/>
      <c r="I31" s="125">
        <v>0</v>
      </c>
    </row>
    <row r="32" spans="1:21" ht="23.25" customHeight="1" thickBot="1" x14ac:dyDescent="0.5">
      <c r="A32" s="4" t="s">
        <v>174</v>
      </c>
      <c r="B32" s="68"/>
      <c r="C32" s="142">
        <f>C30+C31</f>
        <v>163386</v>
      </c>
      <c r="D32" s="151"/>
      <c r="E32" s="142">
        <f>E30+E31</f>
        <v>36650</v>
      </c>
      <c r="F32" s="151"/>
      <c r="G32" s="142">
        <f>G30+G31</f>
        <v>39491</v>
      </c>
      <c r="H32" s="151"/>
      <c r="I32" s="142">
        <f>I30+I31</f>
        <v>-27926</v>
      </c>
      <c r="P32" s="55">
        <f>G87-Q32</f>
        <v>39491</v>
      </c>
      <c r="Q32" s="3">
        <v>8109</v>
      </c>
      <c r="R32" s="41">
        <f>G32-P32</f>
        <v>0</v>
      </c>
    </row>
    <row r="33" spans="1:21" ht="23.25" customHeight="1" thickTop="1" x14ac:dyDescent="0.45">
      <c r="A33" s="4"/>
      <c r="C33" s="113"/>
      <c r="D33" s="9"/>
      <c r="E33" s="113"/>
      <c r="F33" s="9"/>
      <c r="G33" s="113"/>
      <c r="H33" s="9"/>
      <c r="I33" s="113"/>
      <c r="S33" s="55"/>
      <c r="U33" s="55"/>
    </row>
    <row r="34" spans="1:21" ht="23.25" customHeight="1" x14ac:dyDescent="0.5">
      <c r="A34" s="45" t="s">
        <v>100</v>
      </c>
      <c r="C34" s="71"/>
      <c r="E34" s="71"/>
      <c r="F34" s="71"/>
      <c r="G34" s="71"/>
      <c r="H34" s="71"/>
      <c r="I34" s="71"/>
    </row>
    <row r="35" spans="1:21" ht="23.25" customHeight="1" x14ac:dyDescent="0.5">
      <c r="A35" s="45" t="s">
        <v>86</v>
      </c>
      <c r="B35" s="67"/>
      <c r="C35" s="20"/>
      <c r="D35" s="149"/>
      <c r="E35" s="20"/>
    </row>
    <row r="36" spans="1:21" ht="13.5" customHeight="1" x14ac:dyDescent="0.45"/>
    <row r="37" spans="1:21" ht="23.25" customHeight="1" x14ac:dyDescent="0.45">
      <c r="C37" s="188" t="s">
        <v>32</v>
      </c>
      <c r="D37" s="188"/>
      <c r="E37" s="188"/>
      <c r="F37" s="149"/>
      <c r="G37" s="188" t="s">
        <v>47</v>
      </c>
      <c r="H37" s="188"/>
      <c r="I37" s="188"/>
    </row>
    <row r="38" spans="1:21" ht="23.25" customHeight="1" x14ac:dyDescent="0.45">
      <c r="C38" s="189" t="s">
        <v>87</v>
      </c>
      <c r="D38" s="189"/>
      <c r="E38" s="189"/>
      <c r="F38" s="150"/>
      <c r="G38" s="189" t="s">
        <v>87</v>
      </c>
      <c r="H38" s="189"/>
      <c r="I38" s="189"/>
    </row>
    <row r="39" spans="1:21" ht="23.25" customHeight="1" x14ac:dyDescent="0.45">
      <c r="C39" s="189" t="s">
        <v>168</v>
      </c>
      <c r="D39" s="189"/>
      <c r="E39" s="189"/>
      <c r="F39" s="150"/>
      <c r="G39" s="189" t="s">
        <v>168</v>
      </c>
      <c r="H39" s="189"/>
      <c r="I39" s="189"/>
    </row>
    <row r="40" spans="1:21" ht="23.25" customHeight="1" x14ac:dyDescent="0.45">
      <c r="A40" s="4"/>
      <c r="B40" s="68" t="s">
        <v>1</v>
      </c>
      <c r="C40" s="184">
        <v>2562</v>
      </c>
      <c r="D40" s="150"/>
      <c r="E40" s="150">
        <v>2561</v>
      </c>
      <c r="F40" s="150"/>
      <c r="G40" s="150">
        <v>2562</v>
      </c>
      <c r="H40" s="150"/>
      <c r="I40" s="150">
        <v>2561</v>
      </c>
    </row>
    <row r="41" spans="1:21" ht="23.25" customHeight="1" x14ac:dyDescent="0.45">
      <c r="B41" s="68"/>
      <c r="C41" s="190" t="s">
        <v>88</v>
      </c>
      <c r="D41" s="190"/>
      <c r="E41" s="190"/>
      <c r="F41" s="190"/>
      <c r="G41" s="190"/>
      <c r="H41" s="190"/>
      <c r="I41" s="190"/>
    </row>
    <row r="42" spans="1:21" ht="23.25" customHeight="1" x14ac:dyDescent="0.45">
      <c r="A42" s="4" t="s">
        <v>175</v>
      </c>
      <c r="C42" s="138"/>
      <c r="D42" s="2"/>
      <c r="E42" s="2"/>
      <c r="F42" s="2"/>
      <c r="G42" s="2"/>
      <c r="H42" s="2"/>
      <c r="I42" s="2"/>
    </row>
    <row r="43" spans="1:21" ht="23.25" customHeight="1" x14ac:dyDescent="0.45">
      <c r="A43" s="1" t="s">
        <v>72</v>
      </c>
      <c r="C43" s="41">
        <f>C45-C44</f>
        <v>148065</v>
      </c>
      <c r="D43" s="41"/>
      <c r="E43" s="41">
        <f>E45-E44</f>
        <v>22011</v>
      </c>
      <c r="F43" s="41"/>
      <c r="G43" s="41">
        <f>G45-G44</f>
        <v>39491</v>
      </c>
      <c r="H43" s="41"/>
      <c r="I43" s="41">
        <f>I45-I44</f>
        <v>-27926</v>
      </c>
    </row>
    <row r="44" spans="1:21" ht="23.25" customHeight="1" x14ac:dyDescent="0.45">
      <c r="A44" s="1" t="s">
        <v>73</v>
      </c>
      <c r="C44" s="52">
        <v>15321</v>
      </c>
      <c r="D44" s="72"/>
      <c r="E44" s="52">
        <v>14639</v>
      </c>
      <c r="F44" s="72"/>
      <c r="G44" s="41">
        <v>0</v>
      </c>
      <c r="H44" s="73"/>
      <c r="I44" s="34">
        <v>0</v>
      </c>
    </row>
    <row r="45" spans="1:21" ht="23.25" customHeight="1" thickBot="1" x14ac:dyDescent="0.5">
      <c r="A45" s="4" t="s">
        <v>173</v>
      </c>
      <c r="C45" s="136">
        <f>C30</f>
        <v>163386</v>
      </c>
      <c r="D45" s="26"/>
      <c r="E45" s="24">
        <f>E30</f>
        <v>36650</v>
      </c>
      <c r="F45" s="26"/>
      <c r="G45" s="24">
        <f>G30</f>
        <v>39491</v>
      </c>
      <c r="H45" s="26"/>
      <c r="I45" s="24">
        <f>I30</f>
        <v>-27926</v>
      </c>
    </row>
    <row r="46" spans="1:21" ht="13.5" customHeight="1" thickTop="1" x14ac:dyDescent="0.45">
      <c r="A46" s="4"/>
      <c r="C46" s="139"/>
      <c r="D46" s="26"/>
      <c r="E46" s="25"/>
      <c r="F46" s="26"/>
      <c r="G46" s="27"/>
      <c r="H46" s="26"/>
      <c r="I46" s="27"/>
    </row>
    <row r="47" spans="1:21" ht="23.25" customHeight="1" x14ac:dyDescent="0.45">
      <c r="A47" s="4" t="s">
        <v>176</v>
      </c>
      <c r="C47" s="138"/>
      <c r="D47" s="2"/>
      <c r="E47" s="2"/>
      <c r="F47" s="2"/>
      <c r="G47" s="2"/>
      <c r="H47" s="2"/>
      <c r="I47" s="2"/>
    </row>
    <row r="48" spans="1:21" ht="23.25" customHeight="1" x14ac:dyDescent="0.45">
      <c r="A48" s="1" t="s">
        <v>72</v>
      </c>
      <c r="C48" s="41">
        <f>C50-C49</f>
        <v>148065</v>
      </c>
      <c r="D48" s="41"/>
      <c r="E48" s="41">
        <f>E50-E49</f>
        <v>22011</v>
      </c>
      <c r="F48" s="41"/>
      <c r="G48" s="41">
        <f>G50-G49</f>
        <v>39491</v>
      </c>
      <c r="H48" s="41"/>
      <c r="I48" s="41">
        <f>I50-I49</f>
        <v>-27926</v>
      </c>
      <c r="Q48" s="10"/>
      <c r="R48" s="130"/>
    </row>
    <row r="49" spans="1:18" ht="23.25" customHeight="1" x14ac:dyDescent="0.45">
      <c r="A49" s="1" t="s">
        <v>73</v>
      </c>
      <c r="C49" s="52">
        <f>+C44</f>
        <v>15321</v>
      </c>
      <c r="D49" s="72"/>
      <c r="E49" s="52">
        <v>14639</v>
      </c>
      <c r="F49" s="72"/>
      <c r="G49" s="41">
        <v>0</v>
      </c>
      <c r="H49" s="73"/>
      <c r="I49" s="34">
        <v>0</v>
      </c>
      <c r="Q49" s="10"/>
      <c r="R49" s="130"/>
    </row>
    <row r="50" spans="1:18" ht="23.25" customHeight="1" thickBot="1" x14ac:dyDescent="0.5">
      <c r="A50" s="4" t="s">
        <v>174</v>
      </c>
      <c r="C50" s="136">
        <f>C32</f>
        <v>163386</v>
      </c>
      <c r="D50" s="26"/>
      <c r="E50" s="136">
        <f>E32</f>
        <v>36650</v>
      </c>
      <c r="F50" s="26"/>
      <c r="G50" s="136">
        <f>G32</f>
        <v>39491</v>
      </c>
      <c r="H50" s="26"/>
      <c r="I50" s="136">
        <f>I32</f>
        <v>-27926</v>
      </c>
    </row>
    <row r="51" spans="1:18" ht="13.5" customHeight="1" thickTop="1" x14ac:dyDescent="0.45">
      <c r="A51" s="4"/>
      <c r="C51" s="139"/>
      <c r="D51" s="26"/>
      <c r="E51" s="25"/>
      <c r="F51" s="26"/>
      <c r="G51" s="27"/>
      <c r="H51" s="26"/>
      <c r="I51" s="27"/>
    </row>
    <row r="52" spans="1:18" ht="23.25" customHeight="1" x14ac:dyDescent="0.45">
      <c r="A52" s="4" t="s">
        <v>177</v>
      </c>
      <c r="C52" s="137"/>
    </row>
    <row r="53" spans="1:18" ht="23.25" customHeight="1" thickBot="1" x14ac:dyDescent="0.5">
      <c r="A53" s="1" t="s">
        <v>178</v>
      </c>
      <c r="B53" s="66">
        <v>16</v>
      </c>
      <c r="C53" s="140">
        <f>C43/'BS3'!C83</f>
        <v>2.277982654930975E-2</v>
      </c>
      <c r="D53" s="74"/>
      <c r="E53" s="126">
        <v>4.0000000000000001E-3</v>
      </c>
      <c r="F53" s="74"/>
      <c r="G53" s="126">
        <f>G43/'BS3'!G83</f>
        <v>6.0756973643926069E-3</v>
      </c>
      <c r="H53" s="74"/>
      <c r="I53" s="126">
        <v>-5.0000000000000001E-3</v>
      </c>
    </row>
    <row r="54" spans="1:18" ht="23.25" customHeight="1" thickTop="1" thickBot="1" x14ac:dyDescent="0.5">
      <c r="A54" s="1" t="s">
        <v>179</v>
      </c>
      <c r="B54" s="66">
        <v>16</v>
      </c>
      <c r="C54" s="155">
        <f>C43/'BS3'!C83</f>
        <v>2.277982654930975E-2</v>
      </c>
      <c r="E54" s="126">
        <v>4.0000000000000001E-3</v>
      </c>
      <c r="G54" s="156">
        <f>G43/'BS3'!G83</f>
        <v>6.0756973643926069E-3</v>
      </c>
      <c r="I54" s="126">
        <v>-5.0000000000000001E-3</v>
      </c>
    </row>
    <row r="55" spans="1:18" ht="23.25" customHeight="1" thickTop="1" x14ac:dyDescent="0.45"/>
    <row r="56" spans="1:18" ht="23.25" customHeight="1" x14ac:dyDescent="0.5">
      <c r="A56" s="45" t="s">
        <v>100</v>
      </c>
    </row>
    <row r="57" spans="1:18" ht="23.25" customHeight="1" x14ac:dyDescent="0.5">
      <c r="A57" s="45" t="s">
        <v>86</v>
      </c>
      <c r="B57" s="67"/>
      <c r="C57" s="20"/>
      <c r="D57" s="157"/>
      <c r="E57" s="20"/>
    </row>
    <row r="59" spans="1:18" ht="23.25" customHeight="1" x14ac:dyDescent="0.45">
      <c r="C59" s="188" t="s">
        <v>32</v>
      </c>
      <c r="D59" s="188"/>
      <c r="E59" s="188"/>
      <c r="F59" s="157"/>
      <c r="G59" s="188" t="s">
        <v>47</v>
      </c>
      <c r="H59" s="188"/>
      <c r="I59" s="188"/>
    </row>
    <row r="60" spans="1:18" ht="23.25" customHeight="1" x14ac:dyDescent="0.45">
      <c r="C60" s="189" t="s">
        <v>171</v>
      </c>
      <c r="D60" s="189"/>
      <c r="E60" s="189"/>
      <c r="F60" s="158"/>
      <c r="G60" s="189" t="s">
        <v>171</v>
      </c>
      <c r="H60" s="189"/>
      <c r="I60" s="189"/>
    </row>
    <row r="61" spans="1:18" ht="23.25" customHeight="1" x14ac:dyDescent="0.45">
      <c r="C61" s="189" t="s">
        <v>168</v>
      </c>
      <c r="D61" s="189"/>
      <c r="E61" s="189"/>
      <c r="F61" s="158"/>
      <c r="G61" s="189" t="s">
        <v>168</v>
      </c>
      <c r="H61" s="189"/>
      <c r="I61" s="189"/>
    </row>
    <row r="62" spans="1:18" ht="23.25" customHeight="1" x14ac:dyDescent="0.45">
      <c r="A62" s="4"/>
      <c r="B62" s="68" t="s">
        <v>1</v>
      </c>
      <c r="C62" s="184">
        <v>2562</v>
      </c>
      <c r="D62" s="158"/>
      <c r="E62" s="158">
        <v>2561</v>
      </c>
      <c r="F62" s="158"/>
      <c r="G62" s="158">
        <v>2562</v>
      </c>
      <c r="H62" s="158"/>
      <c r="I62" s="158">
        <v>2561</v>
      </c>
    </row>
    <row r="63" spans="1:18" ht="23.25" customHeight="1" x14ac:dyDescent="0.45">
      <c r="B63" s="68"/>
      <c r="C63" s="190" t="s">
        <v>88</v>
      </c>
      <c r="D63" s="190"/>
      <c r="E63" s="190"/>
      <c r="F63" s="190"/>
      <c r="G63" s="190"/>
      <c r="H63" s="190"/>
      <c r="I63" s="190"/>
    </row>
    <row r="64" spans="1:18" ht="23.25" customHeight="1" x14ac:dyDescent="0.45">
      <c r="A64" s="8" t="s">
        <v>24</v>
      </c>
      <c r="C64" s="6"/>
      <c r="D64" s="6"/>
      <c r="E64" s="6"/>
      <c r="F64" s="6"/>
      <c r="G64" s="6"/>
      <c r="H64" s="6"/>
      <c r="I64" s="6"/>
    </row>
    <row r="65" spans="1:16" ht="23.25" customHeight="1" x14ac:dyDescent="0.45">
      <c r="A65" s="1" t="s">
        <v>102</v>
      </c>
      <c r="B65" s="66" t="s">
        <v>215</v>
      </c>
      <c r="C65" s="144">
        <v>601162</v>
      </c>
      <c r="D65" s="6"/>
      <c r="E65" s="33">
        <v>593277</v>
      </c>
      <c r="F65" s="6"/>
      <c r="G65" s="33">
        <v>144293</v>
      </c>
      <c r="H65" s="6"/>
      <c r="I65" s="33">
        <v>155517</v>
      </c>
      <c r="P65" s="55"/>
    </row>
    <row r="66" spans="1:16" ht="23.25" customHeight="1" x14ac:dyDescent="0.45">
      <c r="A66" s="1" t="s">
        <v>25</v>
      </c>
      <c r="B66" s="66">
        <v>14</v>
      </c>
      <c r="C66" s="33">
        <v>170723</v>
      </c>
      <c r="D66" s="9"/>
      <c r="E66" s="9">
        <v>143471</v>
      </c>
      <c r="F66" s="9"/>
      <c r="G66" s="33">
        <v>0</v>
      </c>
      <c r="H66" s="9"/>
      <c r="I66" s="33">
        <v>0</v>
      </c>
      <c r="P66" s="55"/>
    </row>
    <row r="67" spans="1:16" ht="23.25" customHeight="1" x14ac:dyDescent="0.45">
      <c r="A67" s="1" t="s">
        <v>101</v>
      </c>
      <c r="B67" s="66">
        <v>3</v>
      </c>
      <c r="C67" s="33">
        <v>165286</v>
      </c>
      <c r="D67" s="9"/>
      <c r="E67" s="9">
        <v>128060</v>
      </c>
      <c r="F67" s="9"/>
      <c r="G67" s="52">
        <v>165154</v>
      </c>
      <c r="H67" s="9"/>
      <c r="I67" s="33">
        <v>157028</v>
      </c>
    </row>
    <row r="68" spans="1:16" ht="23.25" customHeight="1" x14ac:dyDescent="0.45">
      <c r="A68" s="1" t="s">
        <v>26</v>
      </c>
      <c r="B68" s="66" t="s">
        <v>214</v>
      </c>
      <c r="C68" s="145">
        <v>42036</v>
      </c>
      <c r="D68" s="9"/>
      <c r="E68" s="5">
        <v>23221</v>
      </c>
      <c r="F68" s="9"/>
      <c r="G68" s="123">
        <v>29274</v>
      </c>
      <c r="H68" s="9"/>
      <c r="I68" s="123">
        <v>20820</v>
      </c>
    </row>
    <row r="69" spans="1:16" ht="23.25" customHeight="1" x14ac:dyDescent="0.45">
      <c r="A69" s="4" t="s">
        <v>27</v>
      </c>
      <c r="C69" s="133">
        <f>SUM(C65:C68)</f>
        <v>979207</v>
      </c>
      <c r="D69" s="15"/>
      <c r="E69" s="35">
        <f>SUM(E65:E68)</f>
        <v>888029</v>
      </c>
      <c r="F69" s="15"/>
      <c r="G69" s="35">
        <f>SUM(G65:G68)</f>
        <v>338721</v>
      </c>
      <c r="H69" s="15"/>
      <c r="I69" s="35">
        <f>SUM(I65:I68)</f>
        <v>333365</v>
      </c>
    </row>
    <row r="70" spans="1:16" ht="23.25" customHeight="1" x14ac:dyDescent="0.45">
      <c r="C70" s="9"/>
      <c r="D70" s="9"/>
      <c r="E70" s="9"/>
      <c r="F70" s="9"/>
      <c r="G70" s="9"/>
      <c r="H70" s="9"/>
      <c r="I70" s="9"/>
    </row>
    <row r="71" spans="1:16" ht="23.25" customHeight="1" x14ac:dyDescent="0.45">
      <c r="A71" s="8" t="s">
        <v>28</v>
      </c>
      <c r="C71" s="69"/>
      <c r="D71" s="9"/>
      <c r="E71" s="69"/>
      <c r="F71" s="9"/>
      <c r="G71" s="69"/>
      <c r="H71" s="9"/>
      <c r="I71" s="69"/>
    </row>
    <row r="72" spans="1:16" ht="23.25" customHeight="1" x14ac:dyDescent="0.45">
      <c r="A72" s="1" t="s">
        <v>103</v>
      </c>
      <c r="B72" s="66" t="s">
        <v>214</v>
      </c>
      <c r="C72" s="41">
        <f>168097+9600</f>
        <v>177697</v>
      </c>
      <c r="D72" s="9"/>
      <c r="E72" s="9">
        <v>197920</v>
      </c>
      <c r="F72" s="9"/>
      <c r="G72" s="33">
        <f>13771+9600</f>
        <v>23371</v>
      </c>
      <c r="H72" s="9"/>
      <c r="I72" s="9">
        <v>25847</v>
      </c>
    </row>
    <row r="73" spans="1:16" ht="23.25" customHeight="1" x14ac:dyDescent="0.45">
      <c r="A73" s="1" t="s">
        <v>29</v>
      </c>
      <c r="C73" s="33">
        <v>50020</v>
      </c>
      <c r="D73" s="9"/>
      <c r="E73" s="9">
        <v>43846</v>
      </c>
      <c r="F73" s="9"/>
      <c r="G73" s="40">
        <v>0</v>
      </c>
      <c r="H73" s="9"/>
      <c r="I73" s="40">
        <v>0</v>
      </c>
    </row>
    <row r="74" spans="1:16" ht="23.25" customHeight="1" x14ac:dyDescent="0.45">
      <c r="A74" s="1" t="s">
        <v>152</v>
      </c>
      <c r="C74" s="33">
        <v>3218</v>
      </c>
      <c r="D74" s="9"/>
      <c r="E74" s="9">
        <v>22582</v>
      </c>
      <c r="F74" s="9"/>
      <c r="G74" s="9">
        <v>209</v>
      </c>
      <c r="H74" s="11"/>
      <c r="I74" s="9">
        <v>3896</v>
      </c>
    </row>
    <row r="75" spans="1:16" ht="23.25" customHeight="1" x14ac:dyDescent="0.45">
      <c r="A75" s="1" t="s">
        <v>51</v>
      </c>
      <c r="B75" s="66" t="s">
        <v>214</v>
      </c>
      <c r="C75" s="132">
        <f>164123-9600</f>
        <v>154523</v>
      </c>
      <c r="D75" s="11"/>
      <c r="E75" s="11">
        <v>145159</v>
      </c>
      <c r="F75" s="11"/>
      <c r="G75" s="9">
        <f>69024-9600</f>
        <v>59424</v>
      </c>
      <c r="H75" s="11"/>
      <c r="I75" s="9">
        <v>119273</v>
      </c>
    </row>
    <row r="76" spans="1:16" ht="23.25" customHeight="1" x14ac:dyDescent="0.45">
      <c r="A76" s="1" t="s">
        <v>151</v>
      </c>
    </row>
    <row r="77" spans="1:16" ht="23.25" customHeight="1" x14ac:dyDescent="0.45">
      <c r="A77" s="3" t="s">
        <v>165</v>
      </c>
      <c r="B77" s="66">
        <v>10</v>
      </c>
      <c r="C77" s="132">
        <v>1455</v>
      </c>
      <c r="D77" s="11"/>
      <c r="E77" s="11">
        <v>9779</v>
      </c>
      <c r="F77" s="11"/>
      <c r="G77" s="33">
        <v>24692</v>
      </c>
      <c r="H77" s="11"/>
      <c r="I77" s="9">
        <v>27939</v>
      </c>
    </row>
    <row r="78" spans="1:16" ht="23.25" customHeight="1" x14ac:dyDescent="0.45">
      <c r="A78" s="1" t="s">
        <v>52</v>
      </c>
      <c r="B78" s="66">
        <v>3</v>
      </c>
      <c r="C78" s="134">
        <v>181918</v>
      </c>
      <c r="D78" s="11"/>
      <c r="E78" s="11">
        <v>181366</v>
      </c>
      <c r="F78" s="11"/>
      <c r="G78" s="9">
        <v>179404</v>
      </c>
      <c r="H78" s="11"/>
      <c r="I78" s="9">
        <v>178651</v>
      </c>
    </row>
    <row r="79" spans="1:16" ht="23.25" customHeight="1" x14ac:dyDescent="0.45">
      <c r="A79" s="4" t="s">
        <v>30</v>
      </c>
      <c r="C79" s="135">
        <f>SUM(C72:C78)</f>
        <v>568831</v>
      </c>
      <c r="D79" s="15"/>
      <c r="E79" s="13">
        <f>SUM(E72:E78)</f>
        <v>600652</v>
      </c>
      <c r="F79" s="15"/>
      <c r="G79" s="13">
        <f>SUM(G72:G78)</f>
        <v>287100</v>
      </c>
      <c r="H79" s="15"/>
      <c r="I79" s="13">
        <f>SUM(I72:I78)</f>
        <v>355606</v>
      </c>
    </row>
    <row r="80" spans="1:16" ht="23.25" customHeight="1" x14ac:dyDescent="0.45">
      <c r="A80" s="4"/>
      <c r="C80" s="12"/>
      <c r="D80" s="15"/>
      <c r="E80" s="12"/>
      <c r="F80" s="15"/>
      <c r="G80" s="12"/>
      <c r="H80" s="15"/>
      <c r="I80" s="12"/>
    </row>
    <row r="81" spans="1:9" ht="23.25" customHeight="1" x14ac:dyDescent="0.45">
      <c r="A81" s="1" t="s">
        <v>216</v>
      </c>
      <c r="C81" s="12"/>
      <c r="D81" s="15"/>
      <c r="E81" s="12"/>
      <c r="F81" s="15"/>
      <c r="G81" s="12"/>
      <c r="H81" s="15"/>
      <c r="I81" s="12"/>
    </row>
    <row r="82" spans="1:9" ht="23.25" customHeight="1" x14ac:dyDescent="0.45">
      <c r="A82" s="1" t="s">
        <v>160</v>
      </c>
      <c r="B82" s="66">
        <v>8</v>
      </c>
      <c r="C82" s="145">
        <f>31297</f>
        <v>31297</v>
      </c>
      <c r="D82" s="9"/>
      <c r="E82" s="5">
        <f>31167-128124</f>
        <v>-96957</v>
      </c>
      <c r="F82" s="9"/>
      <c r="G82" s="179">
        <v>0</v>
      </c>
      <c r="H82" s="9"/>
      <c r="I82" s="125">
        <v>0</v>
      </c>
    </row>
    <row r="83" spans="1:9" ht="23.25" customHeight="1" x14ac:dyDescent="0.45">
      <c r="A83" s="4" t="s">
        <v>180</v>
      </c>
      <c r="C83" s="15">
        <f>+C69-C79+SUM(C82)</f>
        <v>441673</v>
      </c>
      <c r="D83" s="15"/>
      <c r="E83" s="15">
        <f>+E69-E79+SUM(E82)</f>
        <v>190420</v>
      </c>
      <c r="F83" s="15"/>
      <c r="G83" s="15">
        <f>+G69-G79+SUM(G82)</f>
        <v>51621</v>
      </c>
      <c r="H83" s="15"/>
      <c r="I83" s="15">
        <f>+I69-I79+SUM(I82)</f>
        <v>-22241</v>
      </c>
    </row>
    <row r="84" spans="1:9" ht="23.25" customHeight="1" x14ac:dyDescent="0.45">
      <c r="A84" s="1" t="s">
        <v>172</v>
      </c>
      <c r="B84" s="66">
        <v>15</v>
      </c>
      <c r="C84" s="146">
        <v>90316</v>
      </c>
      <c r="D84" s="9"/>
      <c r="E84" s="41">
        <v>64692</v>
      </c>
      <c r="F84" s="9"/>
      <c r="G84" s="41">
        <v>4021</v>
      </c>
      <c r="H84" s="9"/>
      <c r="I84" s="41">
        <v>-1936</v>
      </c>
    </row>
    <row r="85" spans="1:9" ht="23.25" customHeight="1" x14ac:dyDescent="0.45">
      <c r="A85" s="4" t="s">
        <v>173</v>
      </c>
      <c r="B85" s="70"/>
      <c r="C85" s="152">
        <f>C83-C84</f>
        <v>351357</v>
      </c>
      <c r="D85" s="12"/>
      <c r="E85" s="152">
        <f>E83-E84</f>
        <v>125728</v>
      </c>
      <c r="F85" s="12"/>
      <c r="G85" s="152">
        <f>G83-G84</f>
        <v>47600</v>
      </c>
      <c r="H85" s="12"/>
      <c r="I85" s="152">
        <f>I83-I84</f>
        <v>-20305</v>
      </c>
    </row>
    <row r="86" spans="1:9" ht="23.25" customHeight="1" x14ac:dyDescent="0.45">
      <c r="A86" s="4" t="s">
        <v>150</v>
      </c>
      <c r="B86" s="68"/>
      <c r="C86" s="125">
        <v>0</v>
      </c>
      <c r="D86" s="159"/>
      <c r="E86" s="125">
        <v>0</v>
      </c>
      <c r="F86" s="159"/>
      <c r="G86" s="125">
        <v>0</v>
      </c>
      <c r="H86" s="159"/>
      <c r="I86" s="125">
        <v>0</v>
      </c>
    </row>
    <row r="87" spans="1:9" ht="23.25" customHeight="1" thickBot="1" x14ac:dyDescent="0.5">
      <c r="A87" s="4" t="s">
        <v>174</v>
      </c>
      <c r="B87" s="68"/>
      <c r="C87" s="142">
        <f>C85</f>
        <v>351357</v>
      </c>
      <c r="D87" s="159"/>
      <c r="E87" s="142">
        <f>E85</f>
        <v>125728</v>
      </c>
      <c r="F87" s="159"/>
      <c r="G87" s="142">
        <f>G85</f>
        <v>47600</v>
      </c>
      <c r="H87" s="159"/>
      <c r="I87" s="142">
        <f>I85</f>
        <v>-20305</v>
      </c>
    </row>
    <row r="88" spans="1:9" ht="23.25" customHeight="1" thickTop="1" x14ac:dyDescent="0.45">
      <c r="A88" s="4"/>
      <c r="C88" s="113"/>
      <c r="D88" s="9"/>
      <c r="E88" s="113"/>
      <c r="F88" s="9"/>
      <c r="G88" s="113"/>
      <c r="H88" s="9"/>
      <c r="I88" s="113"/>
    </row>
    <row r="89" spans="1:9" ht="23.25" customHeight="1" x14ac:dyDescent="0.5">
      <c r="A89" s="45" t="s">
        <v>100</v>
      </c>
      <c r="C89" s="71"/>
      <c r="E89" s="71"/>
      <c r="F89" s="71"/>
      <c r="G89" s="71"/>
      <c r="H89" s="71"/>
      <c r="I89" s="71"/>
    </row>
    <row r="90" spans="1:9" ht="23.25" customHeight="1" x14ac:dyDescent="0.5">
      <c r="A90" s="45" t="s">
        <v>86</v>
      </c>
      <c r="B90" s="67"/>
      <c r="C90" s="20"/>
      <c r="D90" s="157"/>
      <c r="E90" s="20"/>
    </row>
    <row r="92" spans="1:9" ht="23.25" customHeight="1" x14ac:dyDescent="0.45">
      <c r="C92" s="188" t="s">
        <v>32</v>
      </c>
      <c r="D92" s="188"/>
      <c r="E92" s="188"/>
      <c r="F92" s="157"/>
      <c r="G92" s="188" t="s">
        <v>47</v>
      </c>
      <c r="H92" s="188"/>
      <c r="I92" s="188"/>
    </row>
    <row r="93" spans="1:9" ht="23.25" customHeight="1" x14ac:dyDescent="0.45">
      <c r="C93" s="189" t="s">
        <v>171</v>
      </c>
      <c r="D93" s="189"/>
      <c r="E93" s="189"/>
      <c r="F93" s="158"/>
      <c r="G93" s="189" t="s">
        <v>171</v>
      </c>
      <c r="H93" s="189"/>
      <c r="I93" s="189"/>
    </row>
    <row r="94" spans="1:9" ht="23.25" customHeight="1" x14ac:dyDescent="0.45">
      <c r="C94" s="189" t="s">
        <v>168</v>
      </c>
      <c r="D94" s="189"/>
      <c r="E94" s="189"/>
      <c r="F94" s="158"/>
      <c r="G94" s="189" t="s">
        <v>168</v>
      </c>
      <c r="H94" s="189"/>
      <c r="I94" s="189"/>
    </row>
    <row r="95" spans="1:9" ht="23.25" customHeight="1" x14ac:dyDescent="0.45">
      <c r="A95" s="4"/>
      <c r="B95" s="68" t="s">
        <v>1</v>
      </c>
      <c r="C95" s="184">
        <v>2562</v>
      </c>
      <c r="D95" s="158"/>
      <c r="E95" s="158">
        <v>2561</v>
      </c>
      <c r="F95" s="158"/>
      <c r="G95" s="158">
        <v>2562</v>
      </c>
      <c r="H95" s="158"/>
      <c r="I95" s="158">
        <v>2561</v>
      </c>
    </row>
    <row r="96" spans="1:9" ht="23.25" customHeight="1" x14ac:dyDescent="0.45">
      <c r="B96" s="68"/>
      <c r="C96" s="190" t="s">
        <v>88</v>
      </c>
      <c r="D96" s="190"/>
      <c r="E96" s="190"/>
      <c r="F96" s="190"/>
      <c r="G96" s="190"/>
      <c r="H96" s="190"/>
      <c r="I96" s="190"/>
    </row>
    <row r="97" spans="1:9" ht="23.25" customHeight="1" x14ac:dyDescent="0.45">
      <c r="A97" s="4" t="s">
        <v>175</v>
      </c>
      <c r="C97" s="138"/>
      <c r="D97" s="2"/>
      <c r="E97" s="2"/>
      <c r="F97" s="2"/>
      <c r="G97" s="2"/>
      <c r="H97" s="2"/>
      <c r="I97" s="2"/>
    </row>
    <row r="98" spans="1:9" ht="23.25" customHeight="1" x14ac:dyDescent="0.45">
      <c r="A98" s="1" t="s">
        <v>72</v>
      </c>
      <c r="C98" s="41">
        <f>C100-C99</f>
        <v>314788</v>
      </c>
      <c r="D98" s="41"/>
      <c r="E98" s="41">
        <f>E100-E99</f>
        <v>94832</v>
      </c>
      <c r="F98" s="41"/>
      <c r="G98" s="41">
        <f>G100-G99</f>
        <v>47600</v>
      </c>
      <c r="H98" s="41"/>
      <c r="I98" s="41">
        <f>I100-I99</f>
        <v>-20305</v>
      </c>
    </row>
    <row r="99" spans="1:9" ht="23.25" customHeight="1" x14ac:dyDescent="0.45">
      <c r="A99" s="1" t="s">
        <v>73</v>
      </c>
      <c r="C99" s="52">
        <v>36569</v>
      </c>
      <c r="D99" s="72"/>
      <c r="E99" s="52">
        <v>30896</v>
      </c>
      <c r="F99" s="72"/>
      <c r="G99" s="41">
        <v>0</v>
      </c>
      <c r="H99" s="73"/>
      <c r="I99" s="34">
        <v>0</v>
      </c>
    </row>
    <row r="100" spans="1:9" ht="23.25" customHeight="1" thickBot="1" x14ac:dyDescent="0.5">
      <c r="A100" s="4" t="s">
        <v>173</v>
      </c>
      <c r="C100" s="136">
        <f>C85</f>
        <v>351357</v>
      </c>
      <c r="D100" s="26"/>
      <c r="E100" s="24">
        <f>E85</f>
        <v>125728</v>
      </c>
      <c r="F100" s="26"/>
      <c r="G100" s="24">
        <f>G85</f>
        <v>47600</v>
      </c>
      <c r="H100" s="26"/>
      <c r="I100" s="24">
        <f>I85</f>
        <v>-20305</v>
      </c>
    </row>
    <row r="101" spans="1:9" ht="23.25" customHeight="1" thickTop="1" x14ac:dyDescent="0.45">
      <c r="A101" s="4"/>
      <c r="C101" s="139"/>
      <c r="D101" s="26"/>
      <c r="E101" s="25"/>
      <c r="F101" s="26"/>
      <c r="G101" s="27"/>
      <c r="H101" s="26"/>
      <c r="I101" s="27"/>
    </row>
    <row r="102" spans="1:9" ht="23.25" customHeight="1" x14ac:dyDescent="0.45">
      <c r="A102" s="4" t="s">
        <v>176</v>
      </c>
      <c r="C102" s="138"/>
      <c r="D102" s="2"/>
      <c r="E102" s="2"/>
      <c r="F102" s="2"/>
      <c r="G102" s="2"/>
      <c r="H102" s="2"/>
      <c r="I102" s="2"/>
    </row>
    <row r="103" spans="1:9" ht="23.25" customHeight="1" x14ac:dyDescent="0.45">
      <c r="A103" s="1" t="s">
        <v>72</v>
      </c>
      <c r="C103" s="41">
        <f>C105-C104</f>
        <v>314788</v>
      </c>
      <c r="D103" s="41"/>
      <c r="E103" s="41">
        <f>E105-E104</f>
        <v>94832</v>
      </c>
      <c r="F103" s="41"/>
      <c r="G103" s="41">
        <f>G105-G104</f>
        <v>47600</v>
      </c>
      <c r="H103" s="41"/>
      <c r="I103" s="41">
        <f>I105-I104</f>
        <v>-20305</v>
      </c>
    </row>
    <row r="104" spans="1:9" ht="23.25" customHeight="1" x14ac:dyDescent="0.45">
      <c r="A104" s="1" t="s">
        <v>73</v>
      </c>
      <c r="C104" s="146">
        <f>+C99</f>
        <v>36569</v>
      </c>
      <c r="D104" s="72"/>
      <c r="E104" s="52">
        <v>30896</v>
      </c>
      <c r="F104" s="72"/>
      <c r="G104" s="41">
        <f>+G99</f>
        <v>0</v>
      </c>
      <c r="H104" s="73"/>
      <c r="I104" s="34">
        <v>0</v>
      </c>
    </row>
    <row r="105" spans="1:9" ht="23.25" customHeight="1" thickBot="1" x14ac:dyDescent="0.5">
      <c r="A105" s="4" t="s">
        <v>174</v>
      </c>
      <c r="C105" s="136">
        <f>C85</f>
        <v>351357</v>
      </c>
      <c r="D105" s="26"/>
      <c r="E105" s="136">
        <f>E85</f>
        <v>125728</v>
      </c>
      <c r="F105" s="26"/>
      <c r="G105" s="136">
        <f>G85</f>
        <v>47600</v>
      </c>
      <c r="H105" s="26"/>
      <c r="I105" s="136">
        <f>I85</f>
        <v>-20305</v>
      </c>
    </row>
    <row r="106" spans="1:9" ht="23.25" customHeight="1" thickTop="1" x14ac:dyDescent="0.45">
      <c r="A106" s="4"/>
      <c r="C106" s="139"/>
      <c r="D106" s="26"/>
      <c r="E106" s="25"/>
      <c r="F106" s="26"/>
      <c r="G106" s="27"/>
      <c r="H106" s="26"/>
      <c r="I106" s="27"/>
    </row>
    <row r="107" spans="1:9" ht="23.25" customHeight="1" x14ac:dyDescent="0.45">
      <c r="A107" s="4" t="s">
        <v>181</v>
      </c>
      <c r="C107" s="137"/>
    </row>
    <row r="108" spans="1:9" ht="23.25" customHeight="1" thickBot="1" x14ac:dyDescent="0.5">
      <c r="A108" s="1" t="s">
        <v>178</v>
      </c>
      <c r="B108" s="66">
        <v>16</v>
      </c>
      <c r="C108" s="140">
        <f>C98/'BS3'!C83</f>
        <v>4.8430189712654025E-2</v>
      </c>
      <c r="D108" s="74"/>
      <c r="E108" s="126">
        <v>1.6E-2</v>
      </c>
      <c r="F108" s="74"/>
      <c r="G108" s="126">
        <f>G98/'BS3'!G83</f>
        <v>7.3232684547134309E-3</v>
      </c>
      <c r="H108" s="74"/>
      <c r="I108" s="126">
        <v>-3.0000000000000001E-3</v>
      </c>
    </row>
    <row r="109" spans="1:9" ht="23.25" customHeight="1" thickTop="1" thickBot="1" x14ac:dyDescent="0.5">
      <c r="A109" s="1" t="s">
        <v>179</v>
      </c>
      <c r="B109" s="66">
        <v>16</v>
      </c>
      <c r="C109" s="155">
        <f>C98/'BS3'!C83</f>
        <v>4.8430189712654025E-2</v>
      </c>
      <c r="E109" s="126">
        <v>1.4999999999999999E-2</v>
      </c>
      <c r="G109" s="156">
        <f>G98/'BS3'!G83</f>
        <v>7.3232684547134309E-3</v>
      </c>
      <c r="I109" s="126">
        <v>-3.0000000000000001E-3</v>
      </c>
    </row>
    <row r="110" spans="1:9" ht="23.25" customHeight="1" thickTop="1" x14ac:dyDescent="0.45"/>
  </sheetData>
  <mergeCells count="28">
    <mergeCell ref="C94:E94"/>
    <mergeCell ref="G94:I94"/>
    <mergeCell ref="C96:I96"/>
    <mergeCell ref="C63:I63"/>
    <mergeCell ref="C92:E92"/>
    <mergeCell ref="G92:I92"/>
    <mergeCell ref="C93:E93"/>
    <mergeCell ref="G93:I93"/>
    <mergeCell ref="C59:E59"/>
    <mergeCell ref="G59:I59"/>
    <mergeCell ref="C60:E60"/>
    <mergeCell ref="G60:I60"/>
    <mergeCell ref="C61:E61"/>
    <mergeCell ref="G61:I61"/>
    <mergeCell ref="C39:E39"/>
    <mergeCell ref="G39:I39"/>
    <mergeCell ref="C41:I41"/>
    <mergeCell ref="G4:I4"/>
    <mergeCell ref="G5:I5"/>
    <mergeCell ref="G6:I6"/>
    <mergeCell ref="C5:E5"/>
    <mergeCell ref="C37:E37"/>
    <mergeCell ref="G37:I37"/>
    <mergeCell ref="C6:E6"/>
    <mergeCell ref="C4:E4"/>
    <mergeCell ref="C8:I8"/>
    <mergeCell ref="C38:E38"/>
    <mergeCell ref="G38:I38"/>
  </mergeCells>
  <pageMargins left="0.8" right="0.8" top="0.48" bottom="0.5" header="0.5" footer="0.5"/>
  <pageSetup paperSize="9" scale="82" firstPageNumber="6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
&amp;C&amp;15
&amp;P&amp;R&amp;"Angsana New,Italic"&amp;15
</oddFooter>
  </headerFooter>
  <rowBreaks count="3" manualBreakCount="3">
    <brk id="33" max="16383" man="1"/>
    <brk id="55" max="16383" man="1"/>
    <brk id="88" max="16383" man="1"/>
  </rowBreaks>
  <colBreaks count="1" manualBreakCount="1">
    <brk id="9" max="1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1"/>
  <sheetViews>
    <sheetView view="pageBreakPreview" topLeftCell="A13" zoomScale="70" zoomScaleNormal="80" zoomScaleSheetLayoutView="70" workbookViewId="0">
      <selection activeCell="C30" sqref="C30"/>
    </sheetView>
  </sheetViews>
  <sheetFormatPr defaultColWidth="9.28515625" defaultRowHeight="23.25" customHeight="1" x14ac:dyDescent="0.45"/>
  <cols>
    <col min="1" max="1" width="50" style="3" customWidth="1"/>
    <col min="2" max="2" width="9.5703125" style="21" bestFit="1" customWidth="1"/>
    <col min="3" max="3" width="11.7109375" style="3" customWidth="1"/>
    <col min="4" max="4" width="1.5703125" style="3" customWidth="1"/>
    <col min="5" max="5" width="11.42578125" style="3" customWidth="1"/>
    <col min="6" max="6" width="1.5703125" style="3" customWidth="1"/>
    <col min="7" max="7" width="12.42578125" style="3" customWidth="1"/>
    <col min="8" max="8" width="1.42578125" style="3" customWidth="1"/>
    <col min="9" max="9" width="14.42578125" style="3" bestFit="1" customWidth="1"/>
    <col min="10" max="10" width="1.42578125" style="3" customWidth="1"/>
    <col min="11" max="11" width="12.28515625" style="3" customWidth="1"/>
    <col min="12" max="12" width="1.42578125" style="3" customWidth="1"/>
    <col min="13" max="13" width="11.7109375" style="3" customWidth="1"/>
    <col min="14" max="14" width="1.42578125" style="3" customWidth="1"/>
    <col min="15" max="15" width="12" style="3" customWidth="1"/>
    <col min="16" max="16" width="1.42578125" style="3" customWidth="1"/>
    <col min="17" max="17" width="11.7109375" style="3" customWidth="1"/>
    <col min="18" max="18" width="1.42578125" style="3" customWidth="1"/>
    <col min="19" max="19" width="13.28515625" style="3" customWidth="1"/>
    <col min="20" max="20" width="1.42578125" style="3" customWidth="1"/>
    <col min="21" max="21" width="12.5703125" style="3" customWidth="1"/>
    <col min="22" max="22" width="1.42578125" style="3" customWidth="1"/>
    <col min="23" max="23" width="14.7109375" style="3" bestFit="1" customWidth="1"/>
    <col min="24" max="24" width="11" style="3" bestFit="1" customWidth="1"/>
    <col min="25" max="25" width="10" style="3" bestFit="1" customWidth="1"/>
    <col min="26" max="16384" width="9.28515625" style="3"/>
  </cols>
  <sheetData>
    <row r="1" spans="1:24" ht="25.5" customHeight="1" x14ac:dyDescent="0.5">
      <c r="A1" s="18" t="s">
        <v>100</v>
      </c>
      <c r="B1" s="44"/>
      <c r="G1" s="6"/>
      <c r="H1" s="16" t="s">
        <v>40</v>
      </c>
      <c r="I1" s="16"/>
      <c r="J1" s="16"/>
      <c r="K1" s="16"/>
      <c r="L1" s="16"/>
      <c r="M1" s="16"/>
      <c r="N1" s="16"/>
    </row>
    <row r="2" spans="1:24" s="16" customFormat="1" ht="25.5" customHeight="1" x14ac:dyDescent="0.5">
      <c r="A2" s="18" t="s">
        <v>89</v>
      </c>
      <c r="B2" s="4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6" t="s">
        <v>18</v>
      </c>
    </row>
    <row r="3" spans="1:24" ht="21.75" customHeight="1" x14ac:dyDescent="0.5">
      <c r="A3" s="45"/>
      <c r="B3" s="75"/>
      <c r="C3" s="45"/>
      <c r="D3" s="45"/>
      <c r="E3" s="45"/>
    </row>
    <row r="4" spans="1:24" ht="21.75" customHeight="1" x14ac:dyDescent="0.45">
      <c r="A4" s="76"/>
      <c r="B4" s="44"/>
      <c r="C4" s="193" t="s">
        <v>32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</row>
    <row r="5" spans="1:24" ht="21.75" customHeight="1" x14ac:dyDescent="0.45">
      <c r="A5" s="76"/>
      <c r="B5" s="119"/>
      <c r="C5" s="121"/>
      <c r="D5" s="121"/>
      <c r="E5" s="121"/>
      <c r="F5" s="121"/>
      <c r="G5" s="121"/>
      <c r="H5" s="121"/>
      <c r="I5" s="121"/>
      <c r="J5" s="121"/>
      <c r="K5" s="164"/>
      <c r="L5" s="164"/>
      <c r="M5" s="121"/>
      <c r="N5" s="121"/>
      <c r="O5" s="121"/>
      <c r="P5" s="121"/>
      <c r="Q5" s="80" t="s">
        <v>95</v>
      </c>
      <c r="R5" s="121"/>
      <c r="S5" s="121"/>
      <c r="T5" s="121"/>
      <c r="U5" s="121"/>
      <c r="V5" s="121"/>
      <c r="W5" s="121"/>
    </row>
    <row r="6" spans="1:24" ht="21.75" customHeight="1" x14ac:dyDescent="0.45">
      <c r="A6" s="76"/>
      <c r="B6" s="119"/>
      <c r="C6" s="121"/>
      <c r="D6" s="121"/>
      <c r="E6" s="121"/>
      <c r="F6" s="121"/>
      <c r="G6" s="121"/>
      <c r="H6" s="121"/>
      <c r="I6" s="121"/>
      <c r="J6" s="121"/>
      <c r="K6" s="164"/>
      <c r="L6" s="164"/>
      <c r="M6" s="121"/>
      <c r="N6" s="121"/>
      <c r="O6" s="121"/>
      <c r="P6" s="121"/>
      <c r="Q6" s="80" t="s">
        <v>96</v>
      </c>
      <c r="R6" s="121"/>
      <c r="S6" s="121"/>
      <c r="T6" s="121"/>
      <c r="U6" s="121"/>
      <c r="V6" s="121"/>
      <c r="W6" s="121"/>
    </row>
    <row r="7" spans="1:24" ht="21.75" x14ac:dyDescent="0.45">
      <c r="A7" s="76"/>
      <c r="B7" s="78"/>
      <c r="C7" s="77"/>
      <c r="D7" s="77"/>
      <c r="E7" s="77"/>
      <c r="F7" s="77"/>
      <c r="G7" s="77"/>
      <c r="H7" s="77"/>
      <c r="I7" s="121"/>
      <c r="J7" s="121"/>
      <c r="K7" s="164"/>
      <c r="L7" s="164"/>
      <c r="M7" s="191" t="s">
        <v>15</v>
      </c>
      <c r="N7" s="191"/>
      <c r="O7" s="191"/>
      <c r="P7" s="77"/>
      <c r="Q7" s="79" t="s">
        <v>97</v>
      </c>
      <c r="R7" s="121"/>
      <c r="S7" s="23"/>
      <c r="T7" s="42"/>
      <c r="U7" s="22"/>
      <c r="W7" s="43"/>
    </row>
    <row r="8" spans="1:24" ht="21.75" customHeight="1" x14ac:dyDescent="0.45">
      <c r="A8" s="76"/>
      <c r="B8" s="78"/>
      <c r="C8" s="77"/>
      <c r="D8" s="77"/>
      <c r="E8" s="77"/>
      <c r="F8" s="77"/>
      <c r="G8" s="127" t="s">
        <v>106</v>
      </c>
      <c r="H8" s="77"/>
      <c r="I8" s="121"/>
      <c r="J8" s="121"/>
      <c r="K8" s="164"/>
      <c r="L8" s="164"/>
      <c r="M8" s="23"/>
      <c r="N8" s="23"/>
      <c r="O8" s="23"/>
      <c r="P8" s="77"/>
      <c r="Q8" s="80"/>
      <c r="R8" s="77"/>
      <c r="S8" s="81"/>
      <c r="T8" s="81"/>
      <c r="U8" s="81"/>
      <c r="V8" s="81"/>
      <c r="W8" s="81"/>
    </row>
    <row r="9" spans="1:24" ht="21.75" customHeight="1" x14ac:dyDescent="0.45">
      <c r="A9" s="76"/>
      <c r="B9" s="78"/>
      <c r="C9" s="121"/>
      <c r="D9" s="121"/>
      <c r="E9" s="121"/>
      <c r="F9" s="121"/>
      <c r="G9" s="127" t="s">
        <v>107</v>
      </c>
      <c r="H9" s="121"/>
      <c r="I9" s="121"/>
      <c r="J9" s="121"/>
      <c r="K9" s="164"/>
      <c r="L9" s="164"/>
      <c r="M9" s="23"/>
      <c r="N9" s="23"/>
      <c r="O9" s="23"/>
      <c r="P9" s="121"/>
      <c r="Q9" s="80" t="s">
        <v>106</v>
      </c>
      <c r="R9" s="121"/>
      <c r="S9" s="81"/>
      <c r="T9" s="81"/>
      <c r="U9" s="81"/>
      <c r="V9" s="81"/>
      <c r="W9" s="81"/>
    </row>
    <row r="10" spans="1:24" ht="21.75" customHeight="1" x14ac:dyDescent="0.45">
      <c r="A10" s="76"/>
      <c r="B10" s="78"/>
      <c r="C10" s="121"/>
      <c r="D10" s="121"/>
      <c r="E10" s="121"/>
      <c r="F10" s="121"/>
      <c r="G10" s="127" t="s">
        <v>108</v>
      </c>
      <c r="H10" s="121"/>
      <c r="I10" s="127" t="s">
        <v>112</v>
      </c>
      <c r="J10" s="121"/>
      <c r="K10" s="127"/>
      <c r="L10" s="164"/>
      <c r="M10" s="23"/>
      <c r="N10" s="23"/>
      <c r="O10" s="23"/>
      <c r="P10" s="121"/>
      <c r="Q10" s="80" t="s">
        <v>113</v>
      </c>
      <c r="R10" s="121"/>
      <c r="S10" s="81"/>
      <c r="T10" s="81"/>
      <c r="U10" s="81" t="s">
        <v>39</v>
      </c>
      <c r="V10" s="81"/>
      <c r="W10" s="81"/>
    </row>
    <row r="11" spans="1:24" ht="21.75" customHeight="1" x14ac:dyDescent="0.45">
      <c r="A11" s="76"/>
      <c r="B11" s="82"/>
      <c r="C11" s="42" t="s">
        <v>0</v>
      </c>
      <c r="E11" s="42"/>
      <c r="F11" s="42"/>
      <c r="G11" s="42" t="s">
        <v>109</v>
      </c>
      <c r="H11" s="80"/>
      <c r="I11" s="127" t="s">
        <v>113</v>
      </c>
      <c r="J11" s="80"/>
      <c r="K11" s="127"/>
      <c r="L11" s="80"/>
      <c r="M11" s="22"/>
      <c r="N11" s="22"/>
      <c r="O11" s="22"/>
      <c r="P11" s="83"/>
      <c r="Q11" s="81" t="s">
        <v>116</v>
      </c>
      <c r="R11" s="83"/>
      <c r="S11" s="42" t="s">
        <v>61</v>
      </c>
      <c r="T11" s="81"/>
      <c r="U11" s="81" t="s">
        <v>62</v>
      </c>
      <c r="V11" s="81"/>
      <c r="W11" s="81"/>
    </row>
    <row r="12" spans="1:24" ht="21.75" customHeight="1" x14ac:dyDescent="0.45">
      <c r="A12" s="76"/>
      <c r="B12" s="82"/>
      <c r="C12" s="42" t="s">
        <v>63</v>
      </c>
      <c r="E12" s="114" t="s">
        <v>38</v>
      </c>
      <c r="F12" s="42"/>
      <c r="G12" s="42" t="s">
        <v>110</v>
      </c>
      <c r="H12" s="80"/>
      <c r="I12" s="127" t="s">
        <v>114</v>
      </c>
      <c r="J12" s="80"/>
      <c r="K12" s="127" t="s">
        <v>182</v>
      </c>
      <c r="L12" s="80"/>
      <c r="M12" s="42" t="s">
        <v>64</v>
      </c>
      <c r="N12" s="42"/>
      <c r="O12" s="42" t="s">
        <v>65</v>
      </c>
      <c r="P12" s="80"/>
      <c r="Q12" s="84" t="s">
        <v>117</v>
      </c>
      <c r="R12" s="80"/>
      <c r="S12" s="81" t="s">
        <v>66</v>
      </c>
      <c r="T12" s="42"/>
      <c r="U12" s="42" t="s">
        <v>67</v>
      </c>
      <c r="V12" s="42"/>
      <c r="W12" s="42" t="s">
        <v>61</v>
      </c>
    </row>
    <row r="13" spans="1:24" ht="21.75" customHeight="1" x14ac:dyDescent="0.45">
      <c r="A13" s="76"/>
      <c r="B13" s="85" t="s">
        <v>1</v>
      </c>
      <c r="C13" s="42" t="s">
        <v>35</v>
      </c>
      <c r="E13" s="114" t="s">
        <v>37</v>
      </c>
      <c r="F13" s="42"/>
      <c r="G13" s="42" t="s">
        <v>111</v>
      </c>
      <c r="H13" s="80"/>
      <c r="I13" s="127" t="s">
        <v>115</v>
      </c>
      <c r="J13" s="80"/>
      <c r="K13" s="127" t="s">
        <v>183</v>
      </c>
      <c r="L13" s="80"/>
      <c r="M13" s="42" t="s">
        <v>36</v>
      </c>
      <c r="N13" s="42"/>
      <c r="O13" s="42" t="s">
        <v>68</v>
      </c>
      <c r="P13" s="80"/>
      <c r="Q13" s="81" t="s">
        <v>118</v>
      </c>
      <c r="R13" s="80"/>
      <c r="S13" s="81" t="s">
        <v>77</v>
      </c>
      <c r="T13" s="81"/>
      <c r="U13" s="81" t="s">
        <v>69</v>
      </c>
      <c r="V13" s="81"/>
      <c r="W13" s="81" t="s">
        <v>66</v>
      </c>
    </row>
    <row r="14" spans="1:24" ht="21.75" customHeight="1" x14ac:dyDescent="0.45">
      <c r="A14" s="22"/>
      <c r="B14" s="82"/>
      <c r="C14" s="192" t="s">
        <v>88</v>
      </c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</row>
    <row r="15" spans="1:24" ht="21.75" customHeight="1" x14ac:dyDescent="0.45">
      <c r="A15" s="86" t="s">
        <v>195</v>
      </c>
      <c r="B15" s="82"/>
    </row>
    <row r="16" spans="1:24" ht="21.75" customHeight="1" x14ac:dyDescent="0.45">
      <c r="A16" s="87" t="s">
        <v>91</v>
      </c>
      <c r="B16" s="17"/>
      <c r="C16" s="12">
        <v>5951449</v>
      </c>
      <c r="D16" s="12"/>
      <c r="E16" s="12">
        <v>1532321</v>
      </c>
      <c r="F16" s="12"/>
      <c r="G16" s="12">
        <v>-423185</v>
      </c>
      <c r="H16" s="12"/>
      <c r="I16" s="12">
        <v>-129337</v>
      </c>
      <c r="J16" s="12"/>
      <c r="K16" s="104">
        <v>0</v>
      </c>
      <c r="L16" s="12"/>
      <c r="M16" s="12">
        <v>495000</v>
      </c>
      <c r="N16" s="12"/>
      <c r="O16" s="12">
        <v>3798587</v>
      </c>
      <c r="P16" s="12"/>
      <c r="Q16" s="12">
        <v>-24927</v>
      </c>
      <c r="R16" s="12"/>
      <c r="S16" s="12">
        <f>SUM(C16:Q16)</f>
        <v>11199908</v>
      </c>
      <c r="T16" s="12"/>
      <c r="U16" s="12">
        <v>699313</v>
      </c>
      <c r="V16" s="88"/>
      <c r="W16" s="12">
        <f>SUM(S16:U16)</f>
        <v>11899221</v>
      </c>
      <c r="X16" s="29"/>
    </row>
    <row r="17" spans="1:24" ht="21.75" customHeight="1" x14ac:dyDescent="0.45">
      <c r="A17" s="4" t="s">
        <v>189</v>
      </c>
      <c r="B17" s="17"/>
      <c r="C17" s="12"/>
      <c r="D17" s="12"/>
      <c r="E17" s="12"/>
      <c r="F17" s="12"/>
      <c r="G17" s="12"/>
      <c r="H17" s="12"/>
      <c r="I17" s="12"/>
      <c r="J17" s="12"/>
      <c r="K17" s="104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88"/>
      <c r="W17" s="12"/>
      <c r="X17" s="29"/>
    </row>
    <row r="18" spans="1:24" ht="21.75" customHeight="1" x14ac:dyDescent="0.45">
      <c r="A18" s="8" t="s">
        <v>185</v>
      </c>
      <c r="B18" s="162"/>
      <c r="C18" s="11"/>
      <c r="D18" s="11"/>
      <c r="E18" s="11"/>
      <c r="F18" s="11"/>
      <c r="G18" s="11"/>
      <c r="H18" s="11"/>
      <c r="I18" s="11"/>
      <c r="J18" s="11"/>
      <c r="K18" s="124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89"/>
      <c r="W18" s="11"/>
      <c r="X18" s="29"/>
    </row>
    <row r="19" spans="1:24" ht="21.75" customHeight="1" x14ac:dyDescent="0.45">
      <c r="A19" s="1" t="s">
        <v>187</v>
      </c>
      <c r="B19" s="165">
        <v>16</v>
      </c>
      <c r="C19" s="132">
        <v>0</v>
      </c>
      <c r="D19" s="132"/>
      <c r="E19" s="132">
        <v>0</v>
      </c>
      <c r="F19" s="132"/>
      <c r="G19" s="132">
        <v>0</v>
      </c>
      <c r="H19" s="132"/>
      <c r="I19" s="132">
        <v>0</v>
      </c>
      <c r="J19" s="132"/>
      <c r="K19" s="132">
        <v>548381</v>
      </c>
      <c r="L19" s="132"/>
      <c r="M19" s="132">
        <v>0</v>
      </c>
      <c r="N19" s="132"/>
      <c r="O19" s="132">
        <v>0</v>
      </c>
      <c r="P19" s="132"/>
      <c r="Q19" s="132">
        <v>0</v>
      </c>
      <c r="R19" s="132"/>
      <c r="S19" s="132">
        <f t="shared" ref="S19:S21" si="0">SUM(C19:Q19)</f>
        <v>548381</v>
      </c>
      <c r="T19" s="132"/>
      <c r="U19" s="132">
        <v>0</v>
      </c>
      <c r="V19" s="89"/>
      <c r="W19" s="132">
        <f t="shared" ref="W19:W21" si="1">SUM(S19:U19)</f>
        <v>548381</v>
      </c>
      <c r="X19" s="29"/>
    </row>
    <row r="20" spans="1:24" ht="21.75" customHeight="1" x14ac:dyDescent="0.45">
      <c r="A20" s="1" t="s">
        <v>186</v>
      </c>
      <c r="B20" s="165">
        <v>17</v>
      </c>
      <c r="C20" s="132">
        <v>0</v>
      </c>
      <c r="D20" s="132"/>
      <c r="E20" s="132">
        <v>0</v>
      </c>
      <c r="F20" s="132"/>
      <c r="G20" s="132">
        <v>0</v>
      </c>
      <c r="H20" s="132"/>
      <c r="I20" s="132">
        <v>0</v>
      </c>
      <c r="J20" s="132"/>
      <c r="K20" s="132">
        <v>0</v>
      </c>
      <c r="L20" s="132"/>
      <c r="M20" s="132">
        <v>0</v>
      </c>
      <c r="N20" s="132"/>
      <c r="O20" s="132">
        <v>-595140</v>
      </c>
      <c r="P20" s="132"/>
      <c r="Q20" s="132">
        <v>0</v>
      </c>
      <c r="R20" s="132"/>
      <c r="S20" s="132">
        <f t="shared" si="0"/>
        <v>-595140</v>
      </c>
      <c r="T20" s="132"/>
      <c r="U20" s="132">
        <v>0</v>
      </c>
      <c r="V20" s="89"/>
      <c r="W20" s="132">
        <f t="shared" si="1"/>
        <v>-595140</v>
      </c>
      <c r="X20" s="29"/>
    </row>
    <row r="21" spans="1:24" ht="21.75" customHeight="1" x14ac:dyDescent="0.45">
      <c r="A21" s="8" t="s">
        <v>188</v>
      </c>
      <c r="B21" s="162"/>
      <c r="C21" s="172">
        <f>SUM(C19:C20)</f>
        <v>0</v>
      </c>
      <c r="D21" s="167"/>
      <c r="E21" s="172">
        <f>SUM(E19:E20)</f>
        <v>0</v>
      </c>
      <c r="F21" s="167"/>
      <c r="G21" s="172">
        <f>SUM(G19:G20)</f>
        <v>0</v>
      </c>
      <c r="H21" s="167"/>
      <c r="I21" s="172">
        <f>SUM(I19:I20)</f>
        <v>0</v>
      </c>
      <c r="J21" s="167"/>
      <c r="K21" s="172">
        <f>SUM(K19:K20)</f>
        <v>548381</v>
      </c>
      <c r="L21" s="167"/>
      <c r="M21" s="172">
        <f>SUM(M19:M20)</f>
        <v>0</v>
      </c>
      <c r="N21" s="167"/>
      <c r="O21" s="172">
        <f>SUM(O19:O20)</f>
        <v>-595140</v>
      </c>
      <c r="P21" s="167"/>
      <c r="Q21" s="172">
        <f>SUM(Q19:Q20)</f>
        <v>0</v>
      </c>
      <c r="R21" s="167"/>
      <c r="S21" s="172">
        <f t="shared" si="0"/>
        <v>-46759</v>
      </c>
      <c r="T21" s="167"/>
      <c r="U21" s="172">
        <f>SUM(U19:U20)</f>
        <v>0</v>
      </c>
      <c r="V21" s="88"/>
      <c r="W21" s="172">
        <f t="shared" si="1"/>
        <v>-46759</v>
      </c>
      <c r="X21" s="29"/>
    </row>
    <row r="22" spans="1:24" ht="9.75" customHeight="1" x14ac:dyDescent="0.45">
      <c r="A22" s="8"/>
      <c r="B22" s="162"/>
      <c r="C22" s="167"/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88"/>
      <c r="W22" s="167"/>
      <c r="X22" s="29"/>
    </row>
    <row r="23" spans="1:24" ht="21.75" customHeight="1" x14ac:dyDescent="0.45">
      <c r="A23" s="171" t="s">
        <v>207</v>
      </c>
      <c r="B23" s="162"/>
      <c r="C23" s="173">
        <f>C21</f>
        <v>0</v>
      </c>
      <c r="D23" s="167"/>
      <c r="E23" s="173">
        <f>E21</f>
        <v>0</v>
      </c>
      <c r="F23" s="167"/>
      <c r="G23" s="173">
        <f>G21</f>
        <v>0</v>
      </c>
      <c r="H23" s="167"/>
      <c r="I23" s="173">
        <f>I21</f>
        <v>0</v>
      </c>
      <c r="J23" s="167"/>
      <c r="K23" s="173">
        <f>K21</f>
        <v>548381</v>
      </c>
      <c r="L23" s="167"/>
      <c r="M23" s="173">
        <f>M21</f>
        <v>0</v>
      </c>
      <c r="N23" s="167"/>
      <c r="O23" s="173">
        <f>O21</f>
        <v>-595140</v>
      </c>
      <c r="P23" s="167"/>
      <c r="Q23" s="173">
        <f>Q21</f>
        <v>0</v>
      </c>
      <c r="R23" s="167"/>
      <c r="S23" s="173">
        <f>S21</f>
        <v>-46759</v>
      </c>
      <c r="T23" s="167"/>
      <c r="U23" s="173">
        <f>U21</f>
        <v>0</v>
      </c>
      <c r="V23" s="88"/>
      <c r="W23" s="173">
        <f>W21</f>
        <v>-46759</v>
      </c>
      <c r="X23" s="29"/>
    </row>
    <row r="24" spans="1:24" ht="10.5" customHeight="1" x14ac:dyDescent="0.45">
      <c r="A24" s="168"/>
      <c r="B24" s="162"/>
      <c r="C24" s="11"/>
      <c r="D24" s="11"/>
      <c r="E24" s="11"/>
      <c r="F24" s="11"/>
      <c r="G24" s="11"/>
      <c r="H24" s="11"/>
      <c r="I24" s="11"/>
      <c r="J24" s="11"/>
      <c r="K24" s="124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89"/>
      <c r="W24" s="11"/>
      <c r="X24" s="29"/>
    </row>
    <row r="25" spans="1:24" ht="21.75" customHeight="1" x14ac:dyDescent="0.45">
      <c r="A25" s="92" t="s">
        <v>90</v>
      </c>
      <c r="B25" s="93"/>
      <c r="C25" s="58"/>
      <c r="D25" s="11"/>
      <c r="E25" s="58"/>
      <c r="F25" s="58"/>
      <c r="G25" s="58"/>
      <c r="H25" s="11"/>
      <c r="I25" s="11"/>
      <c r="J25" s="11"/>
      <c r="K25" s="11"/>
      <c r="L25" s="11"/>
      <c r="M25" s="58"/>
      <c r="N25" s="11"/>
      <c r="O25" s="58"/>
      <c r="P25" s="58"/>
      <c r="Q25" s="11"/>
      <c r="R25" s="58"/>
      <c r="S25" s="11"/>
      <c r="T25" s="11"/>
      <c r="U25" s="58"/>
      <c r="V25" s="58"/>
      <c r="W25" s="12"/>
    </row>
    <row r="26" spans="1:24" ht="21.75" customHeight="1" x14ac:dyDescent="0.45">
      <c r="A26" s="22" t="s">
        <v>184</v>
      </c>
      <c r="B26" s="162"/>
      <c r="C26" s="91">
        <v>0</v>
      </c>
      <c r="D26" s="94"/>
      <c r="E26" s="91">
        <v>0</v>
      </c>
      <c r="F26" s="91"/>
      <c r="G26" s="91">
        <v>0</v>
      </c>
      <c r="H26" s="94"/>
      <c r="I26" s="94">
        <v>0</v>
      </c>
      <c r="J26" s="94"/>
      <c r="K26" s="94">
        <v>0</v>
      </c>
      <c r="L26" s="94"/>
      <c r="M26" s="91">
        <v>0</v>
      </c>
      <c r="N26" s="94"/>
      <c r="O26" s="30">
        <f>'PL6'!E98</f>
        <v>94832</v>
      </c>
      <c r="P26" s="94"/>
      <c r="Q26" s="91">
        <v>0</v>
      </c>
      <c r="R26" s="94"/>
      <c r="S26" s="11">
        <f t="shared" ref="S26" si="2">SUM(C26:Q26)</f>
        <v>94832</v>
      </c>
      <c r="T26" s="94"/>
      <c r="U26" s="89">
        <f>'PL6'!E99</f>
        <v>30896</v>
      </c>
      <c r="V26" s="89"/>
      <c r="W26" s="132">
        <f>SUM(S26:U26)</f>
        <v>125728</v>
      </c>
    </row>
    <row r="27" spans="1:24" ht="21.75" customHeight="1" x14ac:dyDescent="0.45">
      <c r="A27" s="92" t="s">
        <v>153</v>
      </c>
      <c r="B27" s="17"/>
      <c r="C27" s="99">
        <f>SUM(C26:C26)</f>
        <v>0</v>
      </c>
      <c r="D27" s="100"/>
      <c r="E27" s="99">
        <f>SUM(E26:E26)</f>
        <v>0</v>
      </c>
      <c r="F27" s="100"/>
      <c r="G27" s="99">
        <f>SUM(G26:G26)</f>
        <v>0</v>
      </c>
      <c r="H27" s="166"/>
      <c r="I27" s="99">
        <f>SUM(I26:I26)</f>
        <v>0</v>
      </c>
      <c r="J27" s="166"/>
      <c r="K27" s="99">
        <f>SUM(K26:K26)</f>
        <v>0</v>
      </c>
      <c r="L27" s="166"/>
      <c r="M27" s="99">
        <f>SUM(M26:M26)</f>
        <v>0</v>
      </c>
      <c r="N27" s="166"/>
      <c r="O27" s="99">
        <f>SUM(O26:O26)</f>
        <v>94832</v>
      </c>
      <c r="P27" s="166"/>
      <c r="Q27" s="99">
        <f>SUM(Q26:Q26)</f>
        <v>0</v>
      </c>
      <c r="R27" s="166"/>
      <c r="S27" s="99">
        <f>SUM(S26:S26)</f>
        <v>94832</v>
      </c>
      <c r="T27" s="167"/>
      <c r="U27" s="99">
        <f>SUM(U26:U26)</f>
        <v>30896</v>
      </c>
      <c r="V27" s="166"/>
      <c r="W27" s="99">
        <f>SUM(W26:W26)</f>
        <v>125728</v>
      </c>
    </row>
    <row r="28" spans="1:24" ht="21.75" customHeight="1" thickBot="1" x14ac:dyDescent="0.5">
      <c r="A28" s="92" t="s">
        <v>169</v>
      </c>
      <c r="B28" s="44"/>
      <c r="C28" s="14">
        <f>SUM(C16,C23,C27)</f>
        <v>5951449</v>
      </c>
      <c r="D28" s="15"/>
      <c r="E28" s="14">
        <f>SUM(E16,E23,E27)</f>
        <v>1532321</v>
      </c>
      <c r="F28" s="12"/>
      <c r="G28" s="14">
        <f>SUM(G16,G23,G27)</f>
        <v>-423185</v>
      </c>
      <c r="H28" s="15"/>
      <c r="I28" s="14">
        <f>SUM(I16,I23,I27)</f>
        <v>-129337</v>
      </c>
      <c r="J28" s="15"/>
      <c r="K28" s="14">
        <f>SUM(K16,K23,K27)</f>
        <v>548381</v>
      </c>
      <c r="L28" s="15"/>
      <c r="M28" s="14">
        <f>SUM(M16,M23,M27)</f>
        <v>495000</v>
      </c>
      <c r="N28" s="15"/>
      <c r="O28" s="14">
        <f>SUM(O16,O23,O27)</f>
        <v>3298279</v>
      </c>
      <c r="P28" s="15"/>
      <c r="Q28" s="14">
        <f>SUM(Q16,Q23,Q27)</f>
        <v>-24927</v>
      </c>
      <c r="R28" s="15"/>
      <c r="S28" s="14">
        <f>SUM(S16,S23,S27)</f>
        <v>11247981</v>
      </c>
      <c r="T28" s="12"/>
      <c r="U28" s="14">
        <f>SUM(U16,U23,U27)</f>
        <v>730209</v>
      </c>
      <c r="V28" s="15"/>
      <c r="W28" s="14">
        <f>SUM(W16,W23,W27)</f>
        <v>11978190</v>
      </c>
      <c r="X28" s="29"/>
    </row>
    <row r="29" spans="1:24" ht="23.25" customHeight="1" thickTop="1" x14ac:dyDescent="0.45"/>
    <row r="30" spans="1:24" ht="24" hidden="1" customHeight="1" x14ac:dyDescent="0.45">
      <c r="C30" s="12">
        <f>[1]FS!C77</f>
        <v>2232682</v>
      </c>
      <c r="D30" s="12"/>
      <c r="E30" s="12">
        <f>[1]FS!C78</f>
        <v>1828229</v>
      </c>
      <c r="F30" s="12"/>
      <c r="G30" s="12" t="str">
        <f>[1]FS!C79</f>
        <v>-</v>
      </c>
      <c r="H30" s="12"/>
      <c r="I30" s="12"/>
      <c r="J30" s="12"/>
      <c r="K30" s="12"/>
      <c r="L30" s="12"/>
      <c r="M30" s="12">
        <f>[1]FS!C82</f>
        <v>228530</v>
      </c>
      <c r="N30" s="12"/>
      <c r="O30" s="12">
        <f>[1]FS!C83</f>
        <v>32660144</v>
      </c>
      <c r="P30" s="12"/>
      <c r="Q30" s="12"/>
      <c r="R30" s="12"/>
      <c r="S30" s="12">
        <f>[1]FS!C85</f>
        <v>36896986</v>
      </c>
      <c r="T30" s="12"/>
      <c r="U30" s="12">
        <f>[1]FS!C86</f>
        <v>-9333</v>
      </c>
      <c r="V30" s="12"/>
      <c r="W30" s="12">
        <f>[1]FS!C87</f>
        <v>36887653</v>
      </c>
    </row>
    <row r="31" spans="1:24" s="10" customFormat="1" ht="23.25" hidden="1" customHeight="1" x14ac:dyDescent="0.45">
      <c r="B31" s="101"/>
      <c r="C31" s="10">
        <f>C28-C30</f>
        <v>3718767</v>
      </c>
      <c r="E31" s="10">
        <f>E28-E30</f>
        <v>-295908</v>
      </c>
      <c r="G31" s="10" t="e">
        <f>G28-G30</f>
        <v>#VALUE!</v>
      </c>
      <c r="M31" s="10">
        <f>M28-M30</f>
        <v>266470</v>
      </c>
      <c r="O31" s="10">
        <f>O28-O30</f>
        <v>-29361865</v>
      </c>
      <c r="S31" s="10">
        <f>S28-S30</f>
        <v>-25649005</v>
      </c>
      <c r="U31" s="10">
        <f>U28-U30</f>
        <v>739542</v>
      </c>
      <c r="W31" s="10">
        <f>W28-W30</f>
        <v>-24909463</v>
      </c>
    </row>
  </sheetData>
  <mergeCells count="3">
    <mergeCell ref="M7:O7"/>
    <mergeCell ref="C14:W14"/>
    <mergeCell ref="C4:W4"/>
  </mergeCells>
  <pageMargins left="0.4" right="0.4" top="0.48" bottom="0.5" header="0.5" footer="0.5"/>
  <pageSetup paperSize="9" scale="68" firstPageNumber="10" fitToHeight="2" orientation="landscape" useFirstPageNumber="1" r:id="rId1"/>
  <headerFooter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85" max="16383" man="1"/>
    <brk id="86" max="16383" man="1"/>
    <brk id="87" max="16383" man="1"/>
    <brk id="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1"/>
  <sheetViews>
    <sheetView view="pageBreakPreview" topLeftCell="A7" zoomScale="70" zoomScaleNormal="80" zoomScaleSheetLayoutView="70" workbookViewId="0">
      <selection activeCell="M18" sqref="M18"/>
    </sheetView>
  </sheetViews>
  <sheetFormatPr defaultColWidth="9.28515625" defaultRowHeight="23.25" customHeight="1" x14ac:dyDescent="0.45"/>
  <cols>
    <col min="1" max="1" width="40.42578125" style="3" customWidth="1"/>
    <col min="2" max="2" width="4" style="21" customWidth="1"/>
    <col min="3" max="3" width="11.7109375" style="3" customWidth="1"/>
    <col min="4" max="4" width="1.5703125" style="3" customWidth="1"/>
    <col min="5" max="5" width="11.42578125" style="3" customWidth="1"/>
    <col min="6" max="6" width="1.5703125" style="3" customWidth="1"/>
    <col min="7" max="7" width="12.42578125" style="3" customWidth="1"/>
    <col min="8" max="8" width="1.42578125" style="3" customWidth="1"/>
    <col min="9" max="9" width="12.7109375" style="3" customWidth="1"/>
    <col min="10" max="10" width="1.42578125" style="3" customWidth="1"/>
    <col min="11" max="11" width="11.7109375" style="3" customWidth="1"/>
    <col min="12" max="12" width="1.42578125" style="3" customWidth="1"/>
    <col min="13" max="13" width="12" style="3" customWidth="1"/>
    <col min="14" max="14" width="1.42578125" style="3" customWidth="1"/>
    <col min="15" max="15" width="11.7109375" style="3" customWidth="1"/>
    <col min="16" max="16" width="1.42578125" style="3" customWidth="1"/>
    <col min="17" max="17" width="13.28515625" style="3" customWidth="1"/>
    <col min="18" max="18" width="1.42578125" style="3" customWidth="1"/>
    <col min="19" max="19" width="12.5703125" style="3" customWidth="1"/>
    <col min="20" max="20" width="1.42578125" style="3" customWidth="1"/>
    <col min="21" max="21" width="14.7109375" style="3" bestFit="1" customWidth="1"/>
    <col min="22" max="22" width="11" style="3" bestFit="1" customWidth="1"/>
    <col min="23" max="23" width="10" style="3" bestFit="1" customWidth="1"/>
    <col min="24" max="16384" width="9.28515625" style="3"/>
  </cols>
  <sheetData>
    <row r="1" spans="1:22" ht="25.5" customHeight="1" x14ac:dyDescent="0.5">
      <c r="A1" s="18" t="s">
        <v>100</v>
      </c>
      <c r="B1" s="119"/>
      <c r="G1" s="6"/>
      <c r="H1" s="16" t="s">
        <v>40</v>
      </c>
      <c r="I1" s="16"/>
      <c r="J1" s="16"/>
      <c r="K1" s="16"/>
      <c r="L1" s="16"/>
    </row>
    <row r="2" spans="1:22" s="16" customFormat="1" ht="25.5" customHeight="1" x14ac:dyDescent="0.5">
      <c r="A2" s="18" t="s">
        <v>89</v>
      </c>
      <c r="B2" s="119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6" t="s">
        <v>18</v>
      </c>
    </row>
    <row r="3" spans="1:22" ht="21.75" customHeight="1" x14ac:dyDescent="0.5">
      <c r="A3" s="45"/>
      <c r="B3" s="75"/>
      <c r="C3" s="45"/>
      <c r="D3" s="45"/>
      <c r="E3" s="45"/>
    </row>
    <row r="4" spans="1:22" ht="21.75" customHeight="1" x14ac:dyDescent="0.45">
      <c r="A4" s="76"/>
      <c r="B4" s="119"/>
      <c r="C4" s="193" t="s">
        <v>32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</row>
    <row r="5" spans="1:22" ht="21.75" customHeight="1" x14ac:dyDescent="0.45">
      <c r="A5" s="76"/>
      <c r="B5" s="119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80" t="s">
        <v>95</v>
      </c>
      <c r="P5" s="121"/>
      <c r="Q5" s="121"/>
      <c r="R5" s="121"/>
      <c r="S5" s="121"/>
      <c r="T5" s="121"/>
      <c r="U5" s="121"/>
    </row>
    <row r="6" spans="1:22" ht="21.75" customHeight="1" x14ac:dyDescent="0.45">
      <c r="A6" s="76"/>
      <c r="B6" s="119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80" t="s">
        <v>96</v>
      </c>
      <c r="P6" s="121"/>
      <c r="Q6" s="121"/>
      <c r="R6" s="121"/>
      <c r="S6" s="121"/>
      <c r="T6" s="121"/>
      <c r="U6" s="121"/>
    </row>
    <row r="7" spans="1:22" ht="21.75" x14ac:dyDescent="0.45">
      <c r="A7" s="76"/>
      <c r="B7" s="78"/>
      <c r="C7" s="121"/>
      <c r="D7" s="121"/>
      <c r="E7" s="121"/>
      <c r="F7" s="121"/>
      <c r="G7" s="121"/>
      <c r="H7" s="121"/>
      <c r="I7" s="121"/>
      <c r="J7" s="121"/>
      <c r="K7" s="191" t="s">
        <v>15</v>
      </c>
      <c r="L7" s="191"/>
      <c r="M7" s="191"/>
      <c r="N7" s="121"/>
      <c r="O7" s="79" t="s">
        <v>97</v>
      </c>
      <c r="P7" s="121"/>
      <c r="Q7" s="23"/>
      <c r="R7" s="118"/>
      <c r="S7" s="22"/>
      <c r="U7" s="117"/>
    </row>
    <row r="8" spans="1:22" ht="21.75" customHeight="1" x14ac:dyDescent="0.45">
      <c r="A8" s="76"/>
      <c r="B8" s="78"/>
      <c r="C8" s="121"/>
      <c r="D8" s="121"/>
      <c r="E8" s="121"/>
      <c r="F8" s="121"/>
      <c r="G8" s="127" t="s">
        <v>106</v>
      </c>
      <c r="H8" s="121"/>
      <c r="I8" s="121"/>
      <c r="J8" s="121"/>
      <c r="K8" s="23"/>
      <c r="L8" s="23"/>
      <c r="M8" s="23"/>
      <c r="N8" s="121"/>
      <c r="O8" s="80"/>
      <c r="P8" s="121"/>
      <c r="Q8" s="81"/>
      <c r="R8" s="81"/>
      <c r="S8" s="81"/>
      <c r="T8" s="81"/>
      <c r="U8" s="81"/>
    </row>
    <row r="9" spans="1:22" ht="21.75" customHeight="1" x14ac:dyDescent="0.45">
      <c r="A9" s="76"/>
      <c r="B9" s="78"/>
      <c r="C9" s="121"/>
      <c r="D9" s="121"/>
      <c r="E9" s="121"/>
      <c r="F9" s="121"/>
      <c r="G9" s="127" t="s">
        <v>107</v>
      </c>
      <c r="H9" s="121"/>
      <c r="I9" s="121"/>
      <c r="J9" s="121"/>
      <c r="K9" s="23"/>
      <c r="L9" s="23"/>
      <c r="M9" s="23"/>
      <c r="N9" s="121"/>
      <c r="O9" s="80" t="s">
        <v>106</v>
      </c>
      <c r="P9" s="121"/>
      <c r="Q9" s="81"/>
      <c r="R9" s="81"/>
      <c r="S9" s="81"/>
      <c r="T9" s="81"/>
      <c r="U9" s="81"/>
    </row>
    <row r="10" spans="1:22" ht="21.75" customHeight="1" x14ac:dyDescent="0.45">
      <c r="A10" s="76"/>
      <c r="B10" s="78"/>
      <c r="C10" s="121"/>
      <c r="D10" s="121"/>
      <c r="E10" s="121"/>
      <c r="F10" s="121"/>
      <c r="G10" s="127" t="s">
        <v>108</v>
      </c>
      <c r="H10" s="121"/>
      <c r="I10" s="127" t="s">
        <v>112</v>
      </c>
      <c r="J10" s="121"/>
      <c r="K10" s="23"/>
      <c r="L10" s="23"/>
      <c r="M10" s="23"/>
      <c r="N10" s="121"/>
      <c r="O10" s="80" t="s">
        <v>113</v>
      </c>
      <c r="P10" s="121"/>
      <c r="Q10" s="81"/>
      <c r="R10" s="81"/>
      <c r="S10" s="81" t="s">
        <v>39</v>
      </c>
      <c r="T10" s="81"/>
      <c r="U10" s="81"/>
    </row>
    <row r="11" spans="1:22" ht="21.75" customHeight="1" x14ac:dyDescent="0.45">
      <c r="A11" s="76"/>
      <c r="B11" s="120"/>
      <c r="C11" s="118" t="s">
        <v>0</v>
      </c>
      <c r="E11" s="118"/>
      <c r="F11" s="118"/>
      <c r="G11" s="118" t="s">
        <v>109</v>
      </c>
      <c r="H11" s="80"/>
      <c r="I11" s="127" t="s">
        <v>113</v>
      </c>
      <c r="J11" s="80"/>
      <c r="K11" s="22"/>
      <c r="L11" s="22"/>
      <c r="M11" s="22"/>
      <c r="N11" s="83"/>
      <c r="O11" s="81" t="s">
        <v>116</v>
      </c>
      <c r="P11" s="83"/>
      <c r="Q11" s="118" t="s">
        <v>61</v>
      </c>
      <c r="R11" s="81"/>
      <c r="S11" s="81" t="s">
        <v>62</v>
      </c>
      <c r="T11" s="81"/>
      <c r="U11" s="81"/>
    </row>
    <row r="12" spans="1:22" ht="21.75" customHeight="1" x14ac:dyDescent="0.45">
      <c r="A12" s="76"/>
      <c r="B12" s="120"/>
      <c r="C12" s="118" t="s">
        <v>63</v>
      </c>
      <c r="E12" s="118" t="s">
        <v>38</v>
      </c>
      <c r="F12" s="118"/>
      <c r="G12" s="118" t="s">
        <v>110</v>
      </c>
      <c r="H12" s="80"/>
      <c r="I12" s="127" t="s">
        <v>114</v>
      </c>
      <c r="J12" s="80"/>
      <c r="K12" s="118" t="s">
        <v>64</v>
      </c>
      <c r="L12" s="118"/>
      <c r="M12" s="118" t="s">
        <v>65</v>
      </c>
      <c r="N12" s="80"/>
      <c r="O12" s="84" t="s">
        <v>117</v>
      </c>
      <c r="P12" s="80"/>
      <c r="Q12" s="81" t="s">
        <v>66</v>
      </c>
      <c r="R12" s="118"/>
      <c r="S12" s="118" t="s">
        <v>67</v>
      </c>
      <c r="T12" s="118"/>
      <c r="U12" s="118" t="s">
        <v>61</v>
      </c>
    </row>
    <row r="13" spans="1:22" ht="21.75" customHeight="1" x14ac:dyDescent="0.45">
      <c r="A13" s="76"/>
      <c r="B13" s="85"/>
      <c r="C13" s="118" t="s">
        <v>35</v>
      </c>
      <c r="E13" s="118" t="s">
        <v>37</v>
      </c>
      <c r="F13" s="118"/>
      <c r="G13" s="118" t="s">
        <v>111</v>
      </c>
      <c r="H13" s="80"/>
      <c r="I13" s="127" t="s">
        <v>115</v>
      </c>
      <c r="J13" s="80"/>
      <c r="K13" s="118" t="s">
        <v>36</v>
      </c>
      <c r="L13" s="118"/>
      <c r="M13" s="118" t="s">
        <v>68</v>
      </c>
      <c r="N13" s="80"/>
      <c r="O13" s="81" t="s">
        <v>118</v>
      </c>
      <c r="P13" s="80"/>
      <c r="Q13" s="81" t="s">
        <v>77</v>
      </c>
      <c r="R13" s="81"/>
      <c r="S13" s="81" t="s">
        <v>69</v>
      </c>
      <c r="T13" s="81"/>
      <c r="U13" s="81" t="s">
        <v>66</v>
      </c>
    </row>
    <row r="14" spans="1:22" ht="21.75" customHeight="1" x14ac:dyDescent="0.45">
      <c r="A14" s="22"/>
      <c r="B14" s="120"/>
      <c r="C14" s="192" t="s">
        <v>88</v>
      </c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</row>
    <row r="15" spans="1:22" ht="21.75" customHeight="1" x14ac:dyDescent="0.45">
      <c r="A15" s="86" t="s">
        <v>196</v>
      </c>
      <c r="B15" s="120"/>
    </row>
    <row r="16" spans="1:22" ht="21.75" customHeight="1" x14ac:dyDescent="0.45">
      <c r="A16" s="87" t="s">
        <v>105</v>
      </c>
      <c r="B16" s="17"/>
      <c r="C16" s="12">
        <v>6499830</v>
      </c>
      <c r="D16" s="12"/>
      <c r="E16" s="12">
        <v>1532321</v>
      </c>
      <c r="F16" s="12"/>
      <c r="G16" s="12">
        <v>-423185</v>
      </c>
      <c r="H16" s="12"/>
      <c r="I16" s="12">
        <v>-129337</v>
      </c>
      <c r="J16" s="12"/>
      <c r="K16" s="12">
        <v>503800</v>
      </c>
      <c r="L16" s="12"/>
      <c r="M16" s="12">
        <v>3627201</v>
      </c>
      <c r="N16" s="12"/>
      <c r="O16" s="12">
        <v>-24927</v>
      </c>
      <c r="P16" s="12"/>
      <c r="Q16" s="12">
        <f>SUM(C16:P16)</f>
        <v>11585703</v>
      </c>
      <c r="R16" s="12"/>
      <c r="S16" s="12">
        <v>774099</v>
      </c>
      <c r="T16" s="88"/>
      <c r="U16" s="12">
        <f>SUM(Q16:S16)</f>
        <v>12359802</v>
      </c>
      <c r="V16" s="29"/>
    </row>
    <row r="17" spans="1:22" ht="21.75" customHeight="1" x14ac:dyDescent="0.45">
      <c r="A17" s="92" t="s">
        <v>90</v>
      </c>
      <c r="B17" s="93"/>
      <c r="C17" s="58"/>
      <c r="D17" s="11"/>
      <c r="E17" s="58"/>
      <c r="F17" s="58"/>
      <c r="G17" s="58"/>
      <c r="H17" s="11"/>
      <c r="I17" s="11"/>
      <c r="J17" s="11"/>
      <c r="K17" s="58"/>
      <c r="L17" s="11"/>
      <c r="M17" s="58"/>
      <c r="N17" s="58"/>
      <c r="O17" s="11"/>
      <c r="P17" s="58"/>
      <c r="Q17" s="11"/>
      <c r="R17" s="11"/>
      <c r="S17" s="58"/>
      <c r="T17" s="58"/>
      <c r="U17" s="12"/>
    </row>
    <row r="18" spans="1:22" ht="21.75" customHeight="1" x14ac:dyDescent="0.45">
      <c r="A18" s="22" t="s">
        <v>84</v>
      </c>
      <c r="B18" s="119"/>
      <c r="C18" s="91">
        <v>0</v>
      </c>
      <c r="D18" s="94"/>
      <c r="E18" s="91">
        <v>0</v>
      </c>
      <c r="F18" s="91"/>
      <c r="G18" s="91">
        <v>0</v>
      </c>
      <c r="H18" s="94"/>
      <c r="I18" s="128">
        <v>0</v>
      </c>
      <c r="J18" s="94"/>
      <c r="K18" s="91">
        <v>0</v>
      </c>
      <c r="L18" s="94"/>
      <c r="M18" s="132">
        <f>'PL6'!C98</f>
        <v>314788</v>
      </c>
      <c r="N18" s="94"/>
      <c r="O18" s="91">
        <v>0</v>
      </c>
      <c r="P18" s="94"/>
      <c r="Q18" s="132">
        <f>M18</f>
        <v>314788</v>
      </c>
      <c r="R18" s="94"/>
      <c r="S18" s="132">
        <f>'PL6'!C99</f>
        <v>36569</v>
      </c>
      <c r="T18" s="89"/>
      <c r="U18" s="132">
        <f>SUM(Q18:S18)</f>
        <v>351357</v>
      </c>
    </row>
    <row r="19" spans="1:22" ht="21.75" customHeight="1" x14ac:dyDescent="0.45">
      <c r="A19" s="92" t="s">
        <v>153</v>
      </c>
      <c r="B19" s="17"/>
      <c r="C19" s="97">
        <f>C18</f>
        <v>0</v>
      </c>
      <c r="D19" s="98"/>
      <c r="E19" s="97">
        <f>E18</f>
        <v>0</v>
      </c>
      <c r="F19" s="98"/>
      <c r="G19" s="97">
        <f>G18</f>
        <v>0</v>
      </c>
      <c r="H19" s="15"/>
      <c r="I19" s="129">
        <f>I18</f>
        <v>0</v>
      </c>
      <c r="J19" s="15"/>
      <c r="K19" s="97">
        <f>K18</f>
        <v>0</v>
      </c>
      <c r="L19" s="15"/>
      <c r="M19" s="99">
        <f>SUM(M18:M18)</f>
        <v>314788</v>
      </c>
      <c r="N19" s="15"/>
      <c r="O19" s="99">
        <f>SUM(O18:O18)</f>
        <v>0</v>
      </c>
      <c r="P19" s="15"/>
      <c r="Q19" s="99">
        <f>SUM(Q18:Q18)</f>
        <v>314788</v>
      </c>
      <c r="R19" s="12"/>
      <c r="S19" s="99">
        <f>SUM(S18:S18)</f>
        <v>36569</v>
      </c>
      <c r="T19" s="15"/>
      <c r="U19" s="99">
        <f>SUM(U18:U18)</f>
        <v>351357</v>
      </c>
    </row>
    <row r="20" spans="1:22" ht="21.75" customHeight="1" thickBot="1" x14ac:dyDescent="0.5">
      <c r="A20" s="92" t="s">
        <v>170</v>
      </c>
      <c r="B20" s="119"/>
      <c r="C20" s="14">
        <f>SUM(C16,C19)</f>
        <v>6499830</v>
      </c>
      <c r="D20" s="15"/>
      <c r="E20" s="14">
        <f>SUM(E16,E19)</f>
        <v>1532321</v>
      </c>
      <c r="F20" s="12"/>
      <c r="G20" s="14">
        <f>SUM(G16,G19)</f>
        <v>-423185</v>
      </c>
      <c r="H20" s="15"/>
      <c r="I20" s="14">
        <f>SUM(I16,I19)</f>
        <v>-129337</v>
      </c>
      <c r="J20" s="15"/>
      <c r="K20" s="14">
        <f>SUM(K16,K19)</f>
        <v>503800</v>
      </c>
      <c r="L20" s="15"/>
      <c r="M20" s="14">
        <f>SUM(M16,M19)</f>
        <v>3941989</v>
      </c>
      <c r="N20" s="15"/>
      <c r="O20" s="14">
        <f>SUM(O16,O19)</f>
        <v>-24927</v>
      </c>
      <c r="P20" s="15"/>
      <c r="Q20" s="14">
        <f>SUM(Q16,Q19)</f>
        <v>11900491</v>
      </c>
      <c r="R20" s="12"/>
      <c r="S20" s="14">
        <f>SUM(S16,S19)</f>
        <v>810668</v>
      </c>
      <c r="T20" s="15"/>
      <c r="U20" s="14">
        <f>SUM(U16,U19)</f>
        <v>12711159</v>
      </c>
      <c r="V20" s="29"/>
    </row>
    <row r="21" spans="1:22" ht="23.25" customHeight="1" thickTop="1" x14ac:dyDescent="0.45"/>
  </sheetData>
  <mergeCells count="3">
    <mergeCell ref="C4:U4"/>
    <mergeCell ref="K7:M7"/>
    <mergeCell ref="C14:U14"/>
  </mergeCells>
  <pageMargins left="0.4" right="0.4" top="0.48" bottom="0.5" header="0.5" footer="0.5"/>
  <pageSetup paperSize="9" scale="80" firstPageNumber="11" fitToHeight="2" orientation="landscape" useFirstPageNumber="1" r:id="rId1"/>
  <headerFooter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75" max="16383" man="1"/>
    <brk id="76" max="16383" man="1"/>
    <brk id="77" max="16383" man="1"/>
    <brk id="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8"/>
  <sheetViews>
    <sheetView view="pageBreakPreview" zoomScale="85" zoomScaleNormal="90" zoomScaleSheetLayoutView="85" workbookViewId="0">
      <selection activeCell="C30" sqref="C30"/>
    </sheetView>
  </sheetViews>
  <sheetFormatPr defaultColWidth="9.28515625" defaultRowHeight="23.25" customHeight="1" x14ac:dyDescent="0.45"/>
  <cols>
    <col min="1" max="1" width="52.85546875" style="3" customWidth="1"/>
    <col min="2" max="2" width="10.7109375" style="21" customWidth="1"/>
    <col min="3" max="3" width="1.42578125" style="3" customWidth="1"/>
    <col min="4" max="4" width="13.7109375" style="3" customWidth="1"/>
    <col min="5" max="5" width="1.42578125" style="3" customWidth="1"/>
    <col min="6" max="6" width="14" style="3" customWidth="1"/>
    <col min="7" max="7" width="1.42578125" style="3" customWidth="1"/>
    <col min="8" max="8" width="14" style="3" customWidth="1"/>
    <col min="9" max="9" width="1.42578125" style="3" customWidth="1"/>
    <col min="10" max="10" width="14.5703125" style="3" customWidth="1"/>
    <col min="11" max="11" width="1.42578125" style="3" customWidth="1"/>
    <col min="12" max="12" width="14.5703125" style="3" customWidth="1"/>
    <col min="13" max="13" width="1.42578125" style="3" customWidth="1"/>
    <col min="14" max="14" width="13.5703125" style="3" customWidth="1"/>
    <col min="15" max="15" width="11.7109375" style="3" customWidth="1"/>
    <col min="16" max="16384" width="9.28515625" style="3"/>
  </cols>
  <sheetData>
    <row r="1" spans="1:14" ht="23.25" customHeight="1" x14ac:dyDescent="0.5">
      <c r="A1" s="18" t="s">
        <v>100</v>
      </c>
    </row>
    <row r="2" spans="1:14" ht="23.25" customHeight="1" x14ac:dyDescent="0.5">
      <c r="A2" s="18" t="s">
        <v>89</v>
      </c>
      <c r="N2" s="16"/>
    </row>
    <row r="3" spans="1:14" ht="23.25" customHeight="1" x14ac:dyDescent="0.45">
      <c r="A3" s="4"/>
      <c r="B3" s="4"/>
      <c r="C3" s="4"/>
      <c r="D3" s="4"/>
      <c r="E3" s="4"/>
      <c r="F3" s="4"/>
      <c r="H3" s="4"/>
    </row>
    <row r="4" spans="1:14" ht="23.25" customHeight="1" x14ac:dyDescent="0.45">
      <c r="A4" s="76"/>
      <c r="B4" s="82"/>
      <c r="C4" s="82"/>
      <c r="D4" s="188" t="s">
        <v>47</v>
      </c>
      <c r="E4" s="188"/>
      <c r="F4" s="188"/>
      <c r="G4" s="188"/>
      <c r="H4" s="188"/>
      <c r="I4" s="188"/>
      <c r="J4" s="188"/>
      <c r="K4" s="188"/>
      <c r="L4" s="188"/>
      <c r="M4" s="188"/>
      <c r="N4" s="188"/>
    </row>
    <row r="5" spans="1:14" ht="23.25" customHeight="1" x14ac:dyDescent="0.45">
      <c r="A5" s="76"/>
      <c r="B5" s="82"/>
      <c r="C5" s="43"/>
      <c r="D5" s="43"/>
      <c r="E5" s="43"/>
      <c r="F5" s="43"/>
      <c r="G5" s="43"/>
      <c r="H5" s="160"/>
      <c r="I5" s="160"/>
      <c r="J5" s="43"/>
      <c r="K5" s="43"/>
      <c r="L5" s="43"/>
      <c r="M5" s="43"/>
      <c r="N5" s="43"/>
    </row>
    <row r="6" spans="1:14" ht="23.25" customHeight="1" x14ac:dyDescent="0.45">
      <c r="A6" s="76"/>
      <c r="B6" s="82"/>
      <c r="D6" s="22"/>
      <c r="F6" s="42"/>
      <c r="G6" s="80"/>
      <c r="H6" s="161"/>
      <c r="I6" s="80"/>
      <c r="J6" s="191" t="s">
        <v>15</v>
      </c>
      <c r="K6" s="191"/>
      <c r="L6" s="191"/>
      <c r="M6" s="42"/>
    </row>
    <row r="7" spans="1:14" ht="23.25" customHeight="1" x14ac:dyDescent="0.45">
      <c r="A7" s="76"/>
      <c r="B7" s="82"/>
      <c r="D7" s="42" t="s">
        <v>0</v>
      </c>
      <c r="F7" s="42"/>
      <c r="G7" s="80"/>
      <c r="H7" s="161"/>
      <c r="I7" s="80"/>
      <c r="J7" s="22"/>
      <c r="K7" s="22"/>
      <c r="L7" s="22"/>
      <c r="M7" s="42"/>
      <c r="N7" s="22"/>
    </row>
    <row r="8" spans="1:14" ht="23.25" customHeight="1" x14ac:dyDescent="0.45">
      <c r="A8" s="76"/>
      <c r="B8" s="85"/>
      <c r="D8" s="42" t="s">
        <v>63</v>
      </c>
      <c r="F8" s="114" t="s">
        <v>38</v>
      </c>
      <c r="G8" s="80"/>
      <c r="H8" s="127" t="s">
        <v>182</v>
      </c>
      <c r="I8" s="80"/>
      <c r="J8" s="42" t="s">
        <v>64</v>
      </c>
      <c r="K8" s="42"/>
      <c r="L8" s="42" t="s">
        <v>65</v>
      </c>
      <c r="M8" s="42"/>
      <c r="N8" s="42" t="s">
        <v>61</v>
      </c>
    </row>
    <row r="9" spans="1:14" ht="23.25" customHeight="1" x14ac:dyDescent="0.45">
      <c r="A9" s="76"/>
      <c r="B9" s="85" t="s">
        <v>1</v>
      </c>
      <c r="D9" s="42" t="s">
        <v>35</v>
      </c>
      <c r="F9" s="114" t="s">
        <v>37</v>
      </c>
      <c r="G9" s="80"/>
      <c r="H9" s="127" t="s">
        <v>183</v>
      </c>
      <c r="I9" s="80"/>
      <c r="J9" s="42" t="s">
        <v>36</v>
      </c>
      <c r="K9" s="42"/>
      <c r="L9" s="42" t="s">
        <v>68</v>
      </c>
      <c r="M9" s="42"/>
      <c r="N9" s="42" t="s">
        <v>66</v>
      </c>
    </row>
    <row r="10" spans="1:14" ht="23.25" customHeight="1" x14ac:dyDescent="0.45">
      <c r="A10" s="22"/>
      <c r="B10" s="82"/>
      <c r="C10" s="82"/>
      <c r="D10" s="192" t="s">
        <v>88</v>
      </c>
      <c r="E10" s="192"/>
      <c r="F10" s="192"/>
      <c r="G10" s="192"/>
      <c r="H10" s="192"/>
      <c r="I10" s="192"/>
      <c r="J10" s="192"/>
      <c r="K10" s="192"/>
      <c r="L10" s="192"/>
      <c r="M10" s="192"/>
      <c r="N10" s="192"/>
    </row>
    <row r="11" spans="1:14" ht="23.25" customHeight="1" x14ac:dyDescent="0.45">
      <c r="A11" s="86" t="s">
        <v>195</v>
      </c>
      <c r="B11" s="82"/>
      <c r="C11" s="82"/>
      <c r="D11" s="82"/>
      <c r="E11" s="82"/>
      <c r="F11" s="82"/>
      <c r="G11" s="82"/>
      <c r="H11" s="163"/>
      <c r="I11" s="163"/>
      <c r="J11" s="82"/>
      <c r="K11" s="82"/>
      <c r="L11" s="82"/>
      <c r="M11" s="82"/>
      <c r="N11" s="82"/>
    </row>
    <row r="12" spans="1:14" ht="23.25" customHeight="1" x14ac:dyDescent="0.45">
      <c r="A12" s="92" t="s">
        <v>91</v>
      </c>
      <c r="B12" s="102"/>
      <c r="C12" s="12"/>
      <c r="D12" s="12">
        <v>5951449</v>
      </c>
      <c r="E12" s="12"/>
      <c r="F12" s="12">
        <v>1532321</v>
      </c>
      <c r="G12" s="12"/>
      <c r="H12" s="104">
        <v>0</v>
      </c>
      <c r="I12" s="12"/>
      <c r="J12" s="12">
        <v>358100</v>
      </c>
      <c r="K12" s="12"/>
      <c r="L12" s="12">
        <v>3316964</v>
      </c>
      <c r="M12" s="12"/>
      <c r="N12" s="12">
        <f>SUM(D12:L12)</f>
        <v>11158834</v>
      </c>
    </row>
    <row r="13" spans="1:14" ht="23.25" customHeight="1" x14ac:dyDescent="0.45">
      <c r="A13" s="170" t="s">
        <v>189</v>
      </c>
      <c r="B13" s="10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4" ht="23.25" customHeight="1" x14ac:dyDescent="0.45">
      <c r="A14" s="169" t="s">
        <v>185</v>
      </c>
      <c r="B14" s="10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1:14" ht="23.25" customHeight="1" x14ac:dyDescent="0.45">
      <c r="A15" s="1" t="s">
        <v>187</v>
      </c>
      <c r="B15" s="165">
        <v>16</v>
      </c>
      <c r="C15" s="12"/>
      <c r="D15" s="132">
        <v>0</v>
      </c>
      <c r="E15" s="132"/>
      <c r="F15" s="132">
        <v>0</v>
      </c>
      <c r="G15" s="132"/>
      <c r="H15" s="132">
        <v>548381</v>
      </c>
      <c r="I15" s="132"/>
      <c r="J15" s="132">
        <v>0</v>
      </c>
      <c r="K15" s="132"/>
      <c r="L15" s="132">
        <v>0</v>
      </c>
      <c r="M15" s="132"/>
      <c r="N15" s="132">
        <f t="shared" ref="N15:N16" si="0">SUM(D15:L15)</f>
        <v>548381</v>
      </c>
    </row>
    <row r="16" spans="1:14" ht="23.25" customHeight="1" x14ac:dyDescent="0.45">
      <c r="A16" s="1" t="s">
        <v>186</v>
      </c>
      <c r="B16" s="165">
        <v>17</v>
      </c>
      <c r="C16" s="12"/>
      <c r="D16" s="132">
        <v>0</v>
      </c>
      <c r="E16" s="132"/>
      <c r="F16" s="132">
        <v>0</v>
      </c>
      <c r="G16" s="132"/>
      <c r="H16" s="132">
        <v>0</v>
      </c>
      <c r="I16" s="132"/>
      <c r="J16" s="132">
        <v>0</v>
      </c>
      <c r="K16" s="132"/>
      <c r="L16" s="132">
        <v>-595140</v>
      </c>
      <c r="M16" s="132"/>
      <c r="N16" s="132">
        <f t="shared" si="0"/>
        <v>-595140</v>
      </c>
    </row>
    <row r="17" spans="1:16" ht="23.25" customHeight="1" x14ac:dyDescent="0.45">
      <c r="A17" s="8" t="s">
        <v>188</v>
      </c>
      <c r="B17" s="162"/>
      <c r="C17" s="12"/>
      <c r="D17" s="172">
        <f>SUM(D15:D16)</f>
        <v>0</v>
      </c>
      <c r="E17" s="167"/>
      <c r="F17" s="172">
        <f>SUM(F15:F16)</f>
        <v>0</v>
      </c>
      <c r="G17" s="167"/>
      <c r="H17" s="172">
        <f>SUM(H15:H16)</f>
        <v>548381</v>
      </c>
      <c r="I17" s="167"/>
      <c r="J17" s="172">
        <f>SUM(J15:J16)</f>
        <v>0</v>
      </c>
      <c r="K17" s="167"/>
      <c r="L17" s="172">
        <f>SUM(L15:L16)</f>
        <v>-595140</v>
      </c>
      <c r="M17" s="167"/>
      <c r="N17" s="172">
        <f>SUM(N15:N16)</f>
        <v>-46759</v>
      </c>
    </row>
    <row r="18" spans="1:16" ht="13.5" customHeight="1" x14ac:dyDescent="0.45">
      <c r="A18" s="8"/>
      <c r="B18" s="162"/>
      <c r="C18" s="12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1:16" ht="23.25" customHeight="1" x14ac:dyDescent="0.45">
      <c r="A19" s="171" t="s">
        <v>207</v>
      </c>
      <c r="B19" s="102"/>
      <c r="C19" s="12"/>
      <c r="D19" s="173">
        <f>D17</f>
        <v>0</v>
      </c>
      <c r="E19" s="167"/>
      <c r="F19" s="173">
        <f>F17</f>
        <v>0</v>
      </c>
      <c r="G19" s="167"/>
      <c r="H19" s="173">
        <f>H17</f>
        <v>548381</v>
      </c>
      <c r="I19" s="167"/>
      <c r="J19" s="173">
        <f>J17</f>
        <v>0</v>
      </c>
      <c r="K19" s="167"/>
      <c r="L19" s="173">
        <f>L17</f>
        <v>-595140</v>
      </c>
      <c r="M19" s="167"/>
      <c r="N19" s="173">
        <f>N17</f>
        <v>-46759</v>
      </c>
    </row>
    <row r="20" spans="1:16" ht="9.75" customHeight="1" x14ac:dyDescent="0.45">
      <c r="A20" s="92"/>
      <c r="B20" s="102"/>
      <c r="C20" s="12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</row>
    <row r="21" spans="1:16" ht="23.25" customHeight="1" x14ac:dyDescent="0.45">
      <c r="A21" s="92" t="s">
        <v>90</v>
      </c>
      <c r="C21" s="12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</row>
    <row r="22" spans="1:16" ht="23.25" customHeight="1" x14ac:dyDescent="0.45">
      <c r="A22" s="22" t="s">
        <v>197</v>
      </c>
      <c r="C22" s="103"/>
      <c r="D22" s="96">
        <v>0</v>
      </c>
      <c r="E22" s="174"/>
      <c r="F22" s="96">
        <v>0</v>
      </c>
      <c r="G22" s="167"/>
      <c r="H22" s="96">
        <v>0</v>
      </c>
      <c r="I22" s="167"/>
      <c r="J22" s="96">
        <v>0</v>
      </c>
      <c r="K22" s="167"/>
      <c r="L22" s="175">
        <f>'PL6'!I98</f>
        <v>-20305</v>
      </c>
      <c r="M22" s="174"/>
      <c r="N22" s="132">
        <f t="shared" ref="N22" si="1">SUM(D22:L22)</f>
        <v>-20305</v>
      </c>
    </row>
    <row r="23" spans="1:16" ht="23.25" customHeight="1" x14ac:dyDescent="0.45">
      <c r="A23" s="92" t="s">
        <v>206</v>
      </c>
      <c r="C23" s="100"/>
      <c r="D23" s="99">
        <f>D22</f>
        <v>0</v>
      </c>
      <c r="E23" s="100"/>
      <c r="F23" s="99">
        <f>F22</f>
        <v>0</v>
      </c>
      <c r="G23" s="100"/>
      <c r="H23" s="99">
        <f>H22</f>
        <v>0</v>
      </c>
      <c r="I23" s="100"/>
      <c r="J23" s="99">
        <f>J22</f>
        <v>0</v>
      </c>
      <c r="K23" s="166"/>
      <c r="L23" s="99">
        <f>L22</f>
        <v>-20305</v>
      </c>
      <c r="M23" s="166"/>
      <c r="N23" s="99">
        <f>N22</f>
        <v>-20305</v>
      </c>
    </row>
    <row r="24" spans="1:16" ht="23.25" customHeight="1" thickBot="1" x14ac:dyDescent="0.5">
      <c r="A24" s="92" t="s">
        <v>169</v>
      </c>
      <c r="C24" s="12"/>
      <c r="D24" s="176">
        <f>SUM(D12,D19,D23)</f>
        <v>5951449</v>
      </c>
      <c r="E24" s="167"/>
      <c r="F24" s="176">
        <f>SUM(F12,F19,F23)</f>
        <v>1532321</v>
      </c>
      <c r="G24" s="167"/>
      <c r="H24" s="176">
        <f>SUM(H12,H19,H23)</f>
        <v>548381</v>
      </c>
      <c r="I24" s="167"/>
      <c r="J24" s="176">
        <f>SUM(J12,J19,J23)</f>
        <v>358100</v>
      </c>
      <c r="K24" s="166"/>
      <c r="L24" s="176">
        <f>SUM(L12,L19,L23)</f>
        <v>2701519</v>
      </c>
      <c r="M24" s="166"/>
      <c r="N24" s="176">
        <f>SUM(N12,N19,N23)</f>
        <v>11091770</v>
      </c>
      <c r="O24" s="29"/>
    </row>
    <row r="25" spans="1:16" ht="23.25" customHeight="1" thickTop="1" x14ac:dyDescent="0.45">
      <c r="P25" s="12"/>
    </row>
    <row r="26" spans="1:16" ht="23.25" customHeight="1" x14ac:dyDescent="0.45">
      <c r="P26" s="12"/>
    </row>
    <row r="27" spans="1:16" ht="23.25" hidden="1" customHeight="1" x14ac:dyDescent="0.45">
      <c r="D27" s="12">
        <f>[1]FS!G77</f>
        <v>2232682</v>
      </c>
      <c r="F27" s="12">
        <f>[1]FS!G78</f>
        <v>1828229</v>
      </c>
      <c r="H27" s="12" t="e">
        <f>[1]FS!I78</f>
        <v>#REF!</v>
      </c>
      <c r="J27" s="12">
        <f>[1]FS!G82</f>
        <v>228530</v>
      </c>
      <c r="L27" s="12">
        <f>[1]FS!G83</f>
        <v>26538983</v>
      </c>
      <c r="N27" s="12">
        <f>[1]FS!G87</f>
        <v>30828424</v>
      </c>
    </row>
    <row r="28" spans="1:16" ht="23.25" hidden="1" customHeight="1" x14ac:dyDescent="0.45">
      <c r="D28" s="29">
        <f>D24-D27</f>
        <v>3718767</v>
      </c>
      <c r="F28" s="10">
        <f>F24-F27</f>
        <v>-295908</v>
      </c>
      <c r="H28" s="10" t="e">
        <f>H24-H27</f>
        <v>#REF!</v>
      </c>
      <c r="J28" s="10">
        <f>J24-J27</f>
        <v>129570</v>
      </c>
      <c r="L28" s="10">
        <f>L24-L27</f>
        <v>-23837464</v>
      </c>
      <c r="N28" s="10">
        <f>N24-N27</f>
        <v>-19736654</v>
      </c>
    </row>
  </sheetData>
  <mergeCells count="3">
    <mergeCell ref="D4:N4"/>
    <mergeCell ref="J6:L6"/>
    <mergeCell ref="D10:N10"/>
  </mergeCells>
  <phoneticPr fontId="5" type="noConversion"/>
  <printOptions horizontalCentered="1"/>
  <pageMargins left="0.4" right="0.4" top="0.48" bottom="0.5" header="0.5" footer="0.5"/>
  <pageSetup paperSize="9" scale="90" firstPageNumber="12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
&amp;C
&amp;P&amp;R&amp;"Angsana New,Italic"&amp;15
</oddFooter>
  </headerFooter>
  <rowBreaks count="4" manualBreakCount="4">
    <brk id="130" max="16383" man="1"/>
    <brk id="131" max="16383" man="1"/>
    <brk id="132" max="16383" man="1"/>
    <brk id="13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0"/>
  <sheetViews>
    <sheetView view="pageBreakPreview" topLeftCell="A7" zoomScale="85" zoomScaleNormal="90" zoomScaleSheetLayoutView="85" workbookViewId="0">
      <selection activeCell="C30" sqref="C30"/>
    </sheetView>
  </sheetViews>
  <sheetFormatPr defaultColWidth="9.28515625" defaultRowHeight="23.25" customHeight="1" x14ac:dyDescent="0.45"/>
  <cols>
    <col min="1" max="1" width="51.7109375" style="3" customWidth="1"/>
    <col min="2" max="2" width="7.5703125" style="21" customWidth="1"/>
    <col min="3" max="3" width="1.42578125" style="3" customWidth="1"/>
    <col min="4" max="4" width="13.7109375" style="3" customWidth="1"/>
    <col min="5" max="5" width="1.42578125" style="3" customWidth="1"/>
    <col min="6" max="6" width="14" style="3" customWidth="1"/>
    <col min="7" max="7" width="1.42578125" style="3" customWidth="1"/>
    <col min="8" max="8" width="14.5703125" style="3" customWidth="1"/>
    <col min="9" max="9" width="1.42578125" style="3" customWidth="1"/>
    <col min="10" max="10" width="14.5703125" style="3" customWidth="1"/>
    <col min="11" max="11" width="1.42578125" style="3" customWidth="1"/>
    <col min="12" max="12" width="13.5703125" style="3" customWidth="1"/>
    <col min="13" max="13" width="11.7109375" style="3" customWidth="1"/>
    <col min="14" max="16384" width="9.28515625" style="3"/>
  </cols>
  <sheetData>
    <row r="1" spans="1:13" ht="23.25" customHeight="1" x14ac:dyDescent="0.5">
      <c r="A1" s="18" t="s">
        <v>100</v>
      </c>
    </row>
    <row r="2" spans="1:13" ht="23.25" customHeight="1" x14ac:dyDescent="0.5">
      <c r="A2" s="18" t="s">
        <v>89</v>
      </c>
      <c r="L2" s="16"/>
    </row>
    <row r="3" spans="1:13" ht="23.25" customHeight="1" x14ac:dyDescent="0.45">
      <c r="A3" s="4"/>
      <c r="B3" s="4"/>
      <c r="C3" s="4"/>
      <c r="D3" s="4"/>
      <c r="E3" s="4"/>
      <c r="F3" s="4"/>
    </row>
    <row r="4" spans="1:13" ht="23.25" customHeight="1" x14ac:dyDescent="0.45">
      <c r="A4" s="76"/>
      <c r="B4" s="120"/>
      <c r="C4" s="120"/>
      <c r="D4" s="188" t="s">
        <v>47</v>
      </c>
      <c r="E4" s="188"/>
      <c r="F4" s="188"/>
      <c r="G4" s="188"/>
      <c r="H4" s="188"/>
      <c r="I4" s="188"/>
      <c r="J4" s="188"/>
      <c r="K4" s="188"/>
      <c r="L4" s="188"/>
    </row>
    <row r="5" spans="1:13" ht="23.25" customHeight="1" x14ac:dyDescent="0.45">
      <c r="A5" s="76"/>
      <c r="B5" s="120"/>
      <c r="C5" s="117"/>
      <c r="D5" s="117"/>
      <c r="E5" s="117"/>
      <c r="F5" s="117"/>
      <c r="G5" s="177"/>
      <c r="H5" s="117"/>
      <c r="I5" s="117"/>
      <c r="J5" s="117"/>
      <c r="K5" s="117"/>
      <c r="L5" s="117"/>
    </row>
    <row r="6" spans="1:13" ht="23.25" customHeight="1" x14ac:dyDescent="0.45">
      <c r="A6" s="76"/>
      <c r="B6" s="120"/>
      <c r="D6" s="22"/>
      <c r="F6" s="118"/>
      <c r="G6" s="80"/>
      <c r="H6" s="191" t="s">
        <v>15</v>
      </c>
      <c r="I6" s="191"/>
      <c r="J6" s="191"/>
      <c r="K6" s="118"/>
    </row>
    <row r="7" spans="1:13" ht="23.25" customHeight="1" x14ac:dyDescent="0.45">
      <c r="A7" s="76"/>
      <c r="B7" s="120"/>
      <c r="D7" s="118" t="s">
        <v>0</v>
      </c>
      <c r="F7" s="118"/>
      <c r="G7" s="80"/>
      <c r="H7" s="22"/>
      <c r="I7" s="22"/>
      <c r="J7" s="22"/>
      <c r="K7" s="118"/>
      <c r="L7" s="22"/>
    </row>
    <row r="8" spans="1:13" ht="23.25" customHeight="1" x14ac:dyDescent="0.45">
      <c r="A8" s="76"/>
      <c r="B8" s="85"/>
      <c r="D8" s="118" t="s">
        <v>63</v>
      </c>
      <c r="F8" s="118" t="s">
        <v>38</v>
      </c>
      <c r="G8" s="80"/>
      <c r="H8" s="118" t="s">
        <v>64</v>
      </c>
      <c r="I8" s="118"/>
      <c r="J8" s="118" t="s">
        <v>65</v>
      </c>
      <c r="K8" s="118"/>
      <c r="L8" s="118" t="s">
        <v>61</v>
      </c>
    </row>
    <row r="9" spans="1:13" ht="23.25" customHeight="1" x14ac:dyDescent="0.45">
      <c r="A9" s="76"/>
      <c r="B9" s="85"/>
      <c r="D9" s="118" t="s">
        <v>35</v>
      </c>
      <c r="F9" s="118" t="s">
        <v>37</v>
      </c>
      <c r="G9" s="80"/>
      <c r="H9" s="118" t="s">
        <v>36</v>
      </c>
      <c r="I9" s="118"/>
      <c r="J9" s="118" t="s">
        <v>68</v>
      </c>
      <c r="K9" s="118"/>
      <c r="L9" s="118" t="s">
        <v>66</v>
      </c>
    </row>
    <row r="10" spans="1:13" ht="23.25" customHeight="1" x14ac:dyDescent="0.45">
      <c r="A10" s="22"/>
      <c r="B10" s="120"/>
      <c r="C10" s="120"/>
      <c r="D10" s="192" t="s">
        <v>88</v>
      </c>
      <c r="E10" s="192"/>
      <c r="F10" s="192"/>
      <c r="G10" s="192"/>
      <c r="H10" s="192"/>
      <c r="I10" s="192"/>
      <c r="J10" s="192"/>
      <c r="K10" s="192"/>
      <c r="L10" s="192"/>
    </row>
    <row r="11" spans="1:13" ht="23.25" customHeight="1" x14ac:dyDescent="0.45">
      <c r="A11" s="86" t="s">
        <v>196</v>
      </c>
      <c r="B11" s="120"/>
      <c r="C11" s="120"/>
      <c r="D11" s="120"/>
      <c r="E11" s="120"/>
      <c r="F11" s="120"/>
      <c r="G11" s="178"/>
      <c r="H11" s="120"/>
      <c r="I11" s="120"/>
      <c r="J11" s="120"/>
      <c r="K11" s="120"/>
      <c r="L11" s="120"/>
    </row>
    <row r="12" spans="1:13" ht="23.25" customHeight="1" x14ac:dyDescent="0.45">
      <c r="A12" s="92" t="s">
        <v>105</v>
      </c>
      <c r="B12" s="102"/>
      <c r="C12" s="12"/>
      <c r="D12" s="12">
        <v>6499830</v>
      </c>
      <c r="E12" s="12">
        <v>0</v>
      </c>
      <c r="F12" s="12">
        <v>1532321</v>
      </c>
      <c r="G12" s="12">
        <v>0</v>
      </c>
      <c r="H12" s="12">
        <v>366900</v>
      </c>
      <c r="I12" s="12">
        <v>0</v>
      </c>
      <c r="J12" s="12">
        <v>2885502</v>
      </c>
      <c r="K12" s="12"/>
      <c r="L12" s="12">
        <f>SUM(D12:J12)</f>
        <v>11284553</v>
      </c>
    </row>
    <row r="13" spans="1:13" ht="23.25" customHeight="1" x14ac:dyDescent="0.45">
      <c r="A13" s="92" t="s">
        <v>90</v>
      </c>
      <c r="C13" s="12"/>
      <c r="D13" s="12"/>
      <c r="E13" s="12"/>
      <c r="F13" s="12"/>
      <c r="G13" s="12"/>
      <c r="H13" s="12"/>
      <c r="I13" s="12"/>
      <c r="J13" s="12"/>
      <c r="K13" s="12"/>
      <c r="L13" s="95"/>
    </row>
    <row r="14" spans="1:13" ht="23.25" customHeight="1" x14ac:dyDescent="0.45">
      <c r="A14" s="22" t="s">
        <v>84</v>
      </c>
      <c r="C14" s="103"/>
      <c r="D14" s="90">
        <v>0</v>
      </c>
      <c r="E14" s="103"/>
      <c r="F14" s="90">
        <v>0</v>
      </c>
      <c r="G14" s="104"/>
      <c r="H14" s="90">
        <v>0</v>
      </c>
      <c r="I14" s="12"/>
      <c r="J14" s="175">
        <f>'PL6'!G87</f>
        <v>47600</v>
      </c>
      <c r="K14" s="105"/>
      <c r="L14" s="96">
        <f>SUM(D14:J14)</f>
        <v>47600</v>
      </c>
    </row>
    <row r="15" spans="1:13" ht="23.25" customHeight="1" x14ac:dyDescent="0.45">
      <c r="A15" s="92" t="s">
        <v>153</v>
      </c>
      <c r="C15" s="100"/>
      <c r="D15" s="99">
        <f>D14</f>
        <v>0</v>
      </c>
      <c r="E15" s="100"/>
      <c r="F15" s="99">
        <f>F14</f>
        <v>0</v>
      </c>
      <c r="G15" s="100"/>
      <c r="H15" s="99">
        <f>H14</f>
        <v>0</v>
      </c>
      <c r="I15" s="15"/>
      <c r="J15" s="99">
        <f>J14</f>
        <v>47600</v>
      </c>
      <c r="K15" s="15"/>
      <c r="L15" s="99">
        <f>L14</f>
        <v>47600</v>
      </c>
    </row>
    <row r="16" spans="1:13" ht="23.25" customHeight="1" thickBot="1" x14ac:dyDescent="0.5">
      <c r="A16" s="92" t="s">
        <v>170</v>
      </c>
      <c r="C16" s="12"/>
      <c r="D16" s="14">
        <f>SUM(D12,D15)</f>
        <v>6499830</v>
      </c>
      <c r="E16" s="12"/>
      <c r="F16" s="14">
        <f>SUM(F12,F15)</f>
        <v>1532321</v>
      </c>
      <c r="G16" s="12"/>
      <c r="H16" s="14">
        <f>SUM(H12,H15)</f>
        <v>366900</v>
      </c>
      <c r="I16" s="15"/>
      <c r="J16" s="14">
        <f>SUM(J12,J15)</f>
        <v>2933102</v>
      </c>
      <c r="K16" s="15"/>
      <c r="L16" s="14">
        <f>SUM(L12,L15)</f>
        <v>11332153</v>
      </c>
      <c r="M16" s="29"/>
    </row>
    <row r="17" spans="4:14" ht="23.25" customHeight="1" thickTop="1" x14ac:dyDescent="0.45">
      <c r="N17" s="12"/>
    </row>
    <row r="18" spans="4:14" ht="23.25" customHeight="1" x14ac:dyDescent="0.45">
      <c r="N18" s="12"/>
    </row>
    <row r="19" spans="4:14" ht="23.25" hidden="1" customHeight="1" x14ac:dyDescent="0.45">
      <c r="D19" s="12">
        <f>[1]FS!G77</f>
        <v>2232682</v>
      </c>
      <c r="F19" s="12">
        <f>[1]FS!G78</f>
        <v>1828229</v>
      </c>
      <c r="H19" s="12">
        <f>[1]FS!G82</f>
        <v>228530</v>
      </c>
      <c r="J19" s="12">
        <f>[1]FS!G83</f>
        <v>26538983</v>
      </c>
      <c r="L19" s="12">
        <f>[1]FS!G87</f>
        <v>30828424</v>
      </c>
    </row>
    <row r="20" spans="4:14" ht="23.25" hidden="1" customHeight="1" x14ac:dyDescent="0.45">
      <c r="D20" s="29">
        <f>D16-D19</f>
        <v>4267148</v>
      </c>
      <c r="F20" s="10">
        <f>F16-F19</f>
        <v>-295908</v>
      </c>
      <c r="H20" s="10">
        <f>H16-H19</f>
        <v>138370</v>
      </c>
      <c r="J20" s="10">
        <f>J16-J19</f>
        <v>-23605881</v>
      </c>
      <c r="L20" s="10">
        <f>L16-L19</f>
        <v>-19496271</v>
      </c>
    </row>
  </sheetData>
  <mergeCells count="3">
    <mergeCell ref="D4:L4"/>
    <mergeCell ref="H6:J6"/>
    <mergeCell ref="D10:L10"/>
  </mergeCells>
  <pageMargins left="0.8" right="0.8" top="0.48" bottom="0.5" header="0.5" footer="0.5"/>
  <pageSetup paperSize="9" firstPageNumber="13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
&amp;C
&amp;P&amp;R&amp;"Angsana New,Italic"&amp;15
</oddFooter>
  </headerFooter>
  <rowBreaks count="4" manualBreakCount="4">
    <brk id="122" max="16383" man="1"/>
    <brk id="123" max="16383" man="1"/>
    <brk id="124" max="16383" man="1"/>
    <brk id="1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07"/>
  <sheetViews>
    <sheetView view="pageBreakPreview" zoomScale="85" zoomScaleNormal="90" zoomScaleSheetLayoutView="85" workbookViewId="0">
      <selection activeCell="C30" sqref="C30"/>
    </sheetView>
  </sheetViews>
  <sheetFormatPr defaultColWidth="9.28515625" defaultRowHeight="23.25" customHeight="1" x14ac:dyDescent="0.45"/>
  <cols>
    <col min="1" max="1" width="64.28515625" style="3" customWidth="1"/>
    <col min="2" max="2" width="10" style="3" customWidth="1"/>
    <col min="3" max="3" width="1" style="3" customWidth="1"/>
    <col min="4" max="4" width="10.7109375" style="3" customWidth="1"/>
    <col min="5" max="5" width="1" style="3" customWidth="1"/>
    <col min="6" max="6" width="10.7109375" style="3" customWidth="1"/>
    <col min="7" max="7" width="1" style="3" customWidth="1"/>
    <col min="8" max="8" width="10.7109375" style="3" customWidth="1"/>
    <col min="9" max="9" width="1" style="3" customWidth="1"/>
    <col min="10" max="10" width="10.7109375" style="3" customWidth="1"/>
    <col min="11" max="11" width="15.42578125" style="10" customWidth="1"/>
    <col min="12" max="12" width="15.28515625" style="10" bestFit="1" customWidth="1"/>
    <col min="13" max="15" width="14.28515625" style="10" customWidth="1"/>
    <col min="16" max="16" width="14.42578125" style="3" bestFit="1" customWidth="1"/>
    <col min="17" max="17" width="2.28515625" style="3" customWidth="1"/>
    <col min="18" max="18" width="14.42578125" style="3" bestFit="1" customWidth="1"/>
    <col min="19" max="16384" width="9.28515625" style="3"/>
  </cols>
  <sheetData>
    <row r="1" spans="1:15" ht="21.75" customHeight="1" x14ac:dyDescent="0.5">
      <c r="A1" s="18" t="s">
        <v>100</v>
      </c>
      <c r="B1" s="18"/>
      <c r="C1" s="18"/>
    </row>
    <row r="2" spans="1:15" ht="21.75" customHeight="1" x14ac:dyDescent="0.5">
      <c r="A2" s="18" t="s">
        <v>92</v>
      </c>
      <c r="B2" s="18"/>
      <c r="C2" s="18"/>
      <c r="E2" s="6"/>
      <c r="G2" s="6"/>
    </row>
    <row r="3" spans="1:15" ht="21.75" customHeight="1" x14ac:dyDescent="0.45">
      <c r="A3" s="22"/>
      <c r="B3" s="22"/>
      <c r="C3" s="22"/>
      <c r="D3" s="188" t="s">
        <v>32</v>
      </c>
      <c r="E3" s="188"/>
      <c r="F3" s="188"/>
      <c r="G3" s="188"/>
      <c r="H3" s="188" t="s">
        <v>47</v>
      </c>
      <c r="I3" s="188"/>
      <c r="J3" s="188"/>
    </row>
    <row r="4" spans="1:15" ht="21.75" customHeight="1" x14ac:dyDescent="0.45">
      <c r="A4" s="22"/>
      <c r="B4" s="22"/>
      <c r="C4" s="22"/>
      <c r="D4" s="189" t="s">
        <v>171</v>
      </c>
      <c r="E4" s="189"/>
      <c r="F4" s="189"/>
      <c r="G4" s="189"/>
      <c r="H4" s="189" t="s">
        <v>171</v>
      </c>
      <c r="I4" s="189"/>
      <c r="J4" s="189"/>
      <c r="K4" s="3"/>
      <c r="L4" s="3"/>
      <c r="M4" s="3"/>
      <c r="N4" s="3"/>
      <c r="O4" s="3"/>
    </row>
    <row r="5" spans="1:15" ht="21.75" customHeight="1" x14ac:dyDescent="0.45">
      <c r="A5" s="22"/>
      <c r="B5" s="22"/>
      <c r="C5" s="22"/>
      <c r="D5" s="189" t="s">
        <v>168</v>
      </c>
      <c r="E5" s="189"/>
      <c r="F5" s="189"/>
      <c r="H5" s="189" t="s">
        <v>168</v>
      </c>
      <c r="I5" s="189"/>
      <c r="J5" s="189"/>
      <c r="K5" s="3"/>
      <c r="L5" s="3"/>
      <c r="M5" s="3"/>
      <c r="N5" s="3"/>
      <c r="O5" s="3"/>
    </row>
    <row r="6" spans="1:15" ht="21.75" customHeight="1" x14ac:dyDescent="0.45">
      <c r="A6" s="16"/>
      <c r="B6" s="154"/>
      <c r="C6" s="16"/>
      <c r="D6" s="23">
        <v>2562</v>
      </c>
      <c r="E6" s="23"/>
      <c r="F6" s="23">
        <v>2561</v>
      </c>
      <c r="G6" s="23"/>
      <c r="H6" s="23">
        <v>2562</v>
      </c>
      <c r="I6" s="23"/>
      <c r="J6" s="23">
        <v>2561</v>
      </c>
    </row>
    <row r="7" spans="1:15" ht="21.75" customHeight="1" x14ac:dyDescent="0.45">
      <c r="D7" s="190" t="s">
        <v>88</v>
      </c>
      <c r="E7" s="190"/>
      <c r="F7" s="190"/>
      <c r="G7" s="190"/>
      <c r="H7" s="190"/>
      <c r="I7" s="190"/>
      <c r="J7" s="190"/>
    </row>
    <row r="8" spans="1:15" ht="21.75" customHeight="1" x14ac:dyDescent="0.45">
      <c r="A8" s="49" t="s">
        <v>19</v>
      </c>
      <c r="B8" s="49"/>
      <c r="C8" s="49"/>
      <c r="D8" s="6"/>
      <c r="E8" s="7"/>
      <c r="F8" s="6"/>
      <c r="G8" s="7"/>
      <c r="H8" s="7"/>
      <c r="I8" s="7"/>
      <c r="J8" s="7"/>
    </row>
    <row r="9" spans="1:15" ht="21.75" customHeight="1" x14ac:dyDescent="0.45">
      <c r="A9" s="3" t="s">
        <v>173</v>
      </c>
      <c r="D9" s="41">
        <f>'PL6'!C85</f>
        <v>351357</v>
      </c>
      <c r="E9" s="7"/>
      <c r="F9" s="41">
        <f>'PL6'!E85</f>
        <v>125728</v>
      </c>
      <c r="G9" s="7"/>
      <c r="H9" s="41">
        <f>'PL6'!G85</f>
        <v>47600</v>
      </c>
      <c r="I9" s="7"/>
      <c r="J9" s="41">
        <f>'PL6'!I85</f>
        <v>-20305</v>
      </c>
      <c r="K9" s="106"/>
      <c r="N9" s="41"/>
    </row>
    <row r="10" spans="1:15" ht="21.75" customHeight="1" x14ac:dyDescent="0.45">
      <c r="A10" s="50" t="s">
        <v>99</v>
      </c>
      <c r="B10" s="50"/>
      <c r="C10" s="50"/>
      <c r="D10" s="55"/>
      <c r="E10" s="7"/>
      <c r="F10" s="55"/>
      <c r="G10" s="7"/>
      <c r="H10" s="55"/>
      <c r="I10" s="7"/>
      <c r="J10" s="55"/>
      <c r="K10" s="106"/>
      <c r="N10" s="41"/>
    </row>
    <row r="11" spans="1:15" ht="21.4" customHeight="1" x14ac:dyDescent="0.45">
      <c r="A11" s="51" t="s">
        <v>172</v>
      </c>
      <c r="B11" s="51"/>
      <c r="C11" s="51"/>
      <c r="D11" s="94">
        <f>'PL6'!C84</f>
        <v>90316</v>
      </c>
      <c r="E11" s="53"/>
      <c r="F11" s="94">
        <f>'PL6'!E84</f>
        <v>64692</v>
      </c>
      <c r="G11" s="53"/>
      <c r="H11" s="41">
        <f>'PL6'!G84</f>
        <v>4021</v>
      </c>
      <c r="I11" s="53"/>
      <c r="J11" s="53">
        <f>'PL6'!I84</f>
        <v>-1936</v>
      </c>
      <c r="K11" s="106"/>
      <c r="N11" s="41"/>
    </row>
    <row r="12" spans="1:15" ht="21.75" customHeight="1" x14ac:dyDescent="0.45">
      <c r="A12" s="51" t="s">
        <v>52</v>
      </c>
      <c r="B12" s="51"/>
      <c r="C12" s="51"/>
      <c r="D12" s="94">
        <v>181402</v>
      </c>
      <c r="E12" s="7"/>
      <c r="F12" s="41">
        <f>178756+1894</f>
        <v>180650</v>
      </c>
      <c r="G12" s="7"/>
      <c r="H12" s="41">
        <v>179265</v>
      </c>
      <c r="I12" s="7"/>
      <c r="J12" s="109">
        <f>176040+1894</f>
        <v>177934</v>
      </c>
      <c r="K12" s="106"/>
      <c r="N12" s="41"/>
    </row>
    <row r="13" spans="1:15" ht="21.75" customHeight="1" x14ac:dyDescent="0.45">
      <c r="A13" s="51" t="s">
        <v>53</v>
      </c>
      <c r="B13" s="51"/>
      <c r="C13" s="51"/>
      <c r="D13" s="94">
        <v>5821</v>
      </c>
      <c r="E13" s="7"/>
      <c r="F13" s="108">
        <v>7415</v>
      </c>
      <c r="G13" s="7"/>
      <c r="H13" s="41">
        <v>1588</v>
      </c>
      <c r="I13" s="7"/>
      <c r="J13" s="108">
        <v>2210</v>
      </c>
      <c r="K13" s="106"/>
      <c r="N13" s="41"/>
    </row>
    <row r="14" spans="1:15" ht="21.75" customHeight="1" x14ac:dyDescent="0.45">
      <c r="A14" s="51" t="s">
        <v>211</v>
      </c>
      <c r="B14" s="51"/>
      <c r="C14" s="51"/>
      <c r="D14" s="94">
        <v>-693</v>
      </c>
      <c r="E14" s="7"/>
      <c r="F14" s="108">
        <v>-34</v>
      </c>
      <c r="G14" s="7"/>
      <c r="H14" s="52">
        <v>0</v>
      </c>
      <c r="I14" s="7"/>
      <c r="J14" s="108">
        <v>-34</v>
      </c>
      <c r="K14" s="106"/>
      <c r="N14" s="41"/>
    </row>
    <row r="15" spans="1:15" ht="21.75" customHeight="1" x14ac:dyDescent="0.45">
      <c r="A15" s="51" t="s">
        <v>210</v>
      </c>
      <c r="B15" s="116"/>
      <c r="C15" s="51"/>
      <c r="D15" s="94">
        <v>1455</v>
      </c>
      <c r="E15" s="107"/>
      <c r="F15" s="41">
        <v>9779</v>
      </c>
      <c r="G15" s="107"/>
      <c r="H15" s="41">
        <v>24692</v>
      </c>
      <c r="I15" s="7"/>
      <c r="J15" s="52">
        <v>27939</v>
      </c>
      <c r="K15" s="106"/>
      <c r="N15" s="41"/>
    </row>
    <row r="16" spans="1:15" ht="21.75" customHeight="1" x14ac:dyDescent="0.45">
      <c r="A16" s="51" t="s">
        <v>119</v>
      </c>
      <c r="B16" s="116"/>
      <c r="C16" s="51"/>
      <c r="D16" s="94">
        <v>4321</v>
      </c>
      <c r="E16" s="107"/>
      <c r="F16" s="41">
        <v>4322</v>
      </c>
      <c r="G16" s="107"/>
      <c r="H16" s="52">
        <v>0</v>
      </c>
      <c r="I16" s="7"/>
      <c r="J16" s="52">
        <v>0</v>
      </c>
      <c r="K16" s="106"/>
      <c r="N16" s="41"/>
    </row>
    <row r="17" spans="1:16" ht="21.75" customHeight="1" x14ac:dyDescent="0.45">
      <c r="A17" s="51" t="s">
        <v>159</v>
      </c>
      <c r="B17" s="51"/>
      <c r="C17" s="51"/>
      <c r="D17" s="94">
        <v>-1889</v>
      </c>
      <c r="E17" s="7"/>
      <c r="F17" s="41">
        <v>0</v>
      </c>
      <c r="G17" s="7"/>
      <c r="H17" s="41">
        <v>-634</v>
      </c>
      <c r="I17" s="7"/>
      <c r="J17" s="41">
        <v>-2884</v>
      </c>
      <c r="L17" s="106"/>
      <c r="N17" s="41"/>
    </row>
    <row r="18" spans="1:16" ht="21.4" customHeight="1" x14ac:dyDescent="0.45">
      <c r="A18" s="51" t="s">
        <v>78</v>
      </c>
      <c r="B18" s="51"/>
      <c r="C18" s="51"/>
      <c r="D18" s="94">
        <v>3264</v>
      </c>
      <c r="E18" s="7"/>
      <c r="F18" s="108">
        <v>1288</v>
      </c>
      <c r="G18" s="7"/>
      <c r="H18" s="41">
        <v>2834</v>
      </c>
      <c r="I18" s="7"/>
      <c r="J18" s="7">
        <v>1163</v>
      </c>
      <c r="K18" s="106"/>
      <c r="N18" s="41"/>
    </row>
    <row r="19" spans="1:16" ht="21.75" customHeight="1" x14ac:dyDescent="0.45">
      <c r="A19" s="51" t="s">
        <v>166</v>
      </c>
      <c r="B19" s="51"/>
      <c r="C19" s="51"/>
      <c r="D19" s="94">
        <v>-116080</v>
      </c>
      <c r="E19" s="7"/>
      <c r="F19" s="108">
        <v>-117830</v>
      </c>
      <c r="G19" s="7"/>
      <c r="H19" s="41">
        <v>-76656</v>
      </c>
      <c r="I19" s="7"/>
      <c r="J19" s="7">
        <v>-76656</v>
      </c>
      <c r="K19" s="41"/>
      <c r="L19" s="41"/>
      <c r="N19" s="41"/>
    </row>
    <row r="20" spans="1:16" ht="21.75" customHeight="1" x14ac:dyDescent="0.45">
      <c r="A20" s="51" t="s">
        <v>104</v>
      </c>
      <c r="B20" s="51"/>
      <c r="C20" s="51"/>
      <c r="D20" s="94">
        <v>-35117</v>
      </c>
      <c r="E20" s="7"/>
      <c r="F20" s="41">
        <v>-31167</v>
      </c>
      <c r="G20" s="7"/>
      <c r="H20" s="41">
        <v>0</v>
      </c>
      <c r="I20" s="7"/>
      <c r="J20" s="52">
        <v>0</v>
      </c>
      <c r="K20" s="106"/>
      <c r="N20" s="41"/>
    </row>
    <row r="21" spans="1:16" ht="21.75" customHeight="1" x14ac:dyDescent="0.45">
      <c r="A21" s="51" t="s">
        <v>79</v>
      </c>
      <c r="B21" s="115"/>
      <c r="C21" s="51"/>
      <c r="D21" s="94">
        <f>3819</f>
        <v>3819</v>
      </c>
      <c r="E21" s="7"/>
      <c r="F21" s="41">
        <v>128124</v>
      </c>
      <c r="G21" s="7"/>
      <c r="H21" s="41">
        <v>0</v>
      </c>
      <c r="I21" s="7"/>
      <c r="J21" s="52">
        <v>0</v>
      </c>
      <c r="K21" s="106"/>
      <c r="N21" s="41"/>
    </row>
    <row r="22" spans="1:16" ht="21.75" customHeight="1" x14ac:dyDescent="0.45">
      <c r="A22" s="51" t="s">
        <v>101</v>
      </c>
      <c r="B22" s="115"/>
      <c r="C22" s="51"/>
      <c r="D22" s="128">
        <v>-165201</v>
      </c>
      <c r="E22" s="7"/>
      <c r="F22" s="62">
        <v>-128060</v>
      </c>
      <c r="G22" s="7"/>
      <c r="H22" s="62">
        <v>-165145</v>
      </c>
      <c r="I22" s="7"/>
      <c r="J22" s="65">
        <v>-157028</v>
      </c>
      <c r="K22" s="106"/>
      <c r="N22" s="41"/>
    </row>
    <row r="23" spans="1:16" ht="21.6" customHeight="1" x14ac:dyDescent="0.45">
      <c r="A23" s="54"/>
      <c r="B23" s="54"/>
      <c r="C23" s="54"/>
      <c r="D23" s="94">
        <f>SUM(D9:D22)</f>
        <v>322775</v>
      </c>
      <c r="E23" s="53"/>
      <c r="F23" s="108">
        <f>SUM(F9:F22)</f>
        <v>244907</v>
      </c>
      <c r="G23" s="53"/>
      <c r="H23" s="41">
        <f>SUM(H9:H22)</f>
        <v>17565</v>
      </c>
      <c r="I23" s="53"/>
      <c r="J23" s="7">
        <f>SUM(J9:J22)</f>
        <v>-49597</v>
      </c>
      <c r="K23" s="106"/>
      <c r="L23" s="41"/>
      <c r="N23" s="41"/>
    </row>
    <row r="24" spans="1:16" ht="21.6" customHeight="1" x14ac:dyDescent="0.45">
      <c r="A24" s="50" t="s">
        <v>45</v>
      </c>
      <c r="B24" s="50"/>
      <c r="C24" s="50"/>
      <c r="D24" s="108"/>
      <c r="E24" s="7"/>
      <c r="F24" s="7"/>
      <c r="G24" s="7"/>
      <c r="H24" s="7"/>
      <c r="I24" s="7"/>
      <c r="J24" s="7"/>
      <c r="N24" s="41"/>
    </row>
    <row r="25" spans="1:16" ht="21.6" customHeight="1" x14ac:dyDescent="0.45">
      <c r="A25" s="51" t="s">
        <v>200</v>
      </c>
      <c r="B25" s="51"/>
      <c r="C25" s="51"/>
      <c r="D25" s="94">
        <v>-13122</v>
      </c>
      <c r="E25" s="7"/>
      <c r="F25" s="41">
        <v>-21559</v>
      </c>
      <c r="G25" s="7"/>
      <c r="H25" s="41">
        <f>-52293</f>
        <v>-52293</v>
      </c>
      <c r="I25" s="7"/>
      <c r="J25" s="52">
        <v>19751</v>
      </c>
      <c r="K25" s="41"/>
      <c r="L25" s="41"/>
      <c r="M25" s="41"/>
      <c r="N25" s="41"/>
    </row>
    <row r="26" spans="1:16" ht="21.6" customHeight="1" x14ac:dyDescent="0.45">
      <c r="A26" s="51" t="s">
        <v>199</v>
      </c>
      <c r="B26" s="51"/>
      <c r="C26" s="51"/>
      <c r="D26" s="94">
        <v>27779</v>
      </c>
      <c r="E26" s="7"/>
      <c r="F26" s="41">
        <v>-29691</v>
      </c>
      <c r="G26" s="7"/>
      <c r="H26" s="41">
        <v>-43668</v>
      </c>
      <c r="I26" s="7"/>
      <c r="J26" s="52">
        <v>-38997</v>
      </c>
      <c r="K26" s="41"/>
      <c r="L26" s="41"/>
      <c r="M26" s="41"/>
      <c r="N26" s="41"/>
    </row>
    <row r="27" spans="1:16" ht="21.75" customHeight="1" x14ac:dyDescent="0.45">
      <c r="A27" s="51" t="s">
        <v>54</v>
      </c>
      <c r="B27" s="51"/>
      <c r="C27" s="51"/>
      <c r="D27" s="94">
        <v>14160</v>
      </c>
      <c r="E27" s="7"/>
      <c r="F27" s="41">
        <v>53025</v>
      </c>
      <c r="G27" s="7"/>
      <c r="H27" s="41">
        <v>0</v>
      </c>
      <c r="I27" s="7"/>
      <c r="J27" s="52">
        <v>0</v>
      </c>
      <c r="L27" s="41"/>
      <c r="N27" s="41"/>
    </row>
    <row r="28" spans="1:16" ht="21.4" customHeight="1" x14ac:dyDescent="0.45">
      <c r="A28" s="51" t="s">
        <v>4</v>
      </c>
      <c r="B28" s="51"/>
      <c r="C28" s="51"/>
      <c r="D28" s="94">
        <f>22512-15790</f>
        <v>6722</v>
      </c>
      <c r="E28" s="7"/>
      <c r="F28" s="41">
        <v>17170</v>
      </c>
      <c r="G28" s="7"/>
      <c r="H28" s="41">
        <v>-1257</v>
      </c>
      <c r="I28" s="7"/>
      <c r="J28" s="52">
        <v>-905</v>
      </c>
      <c r="K28" s="41"/>
      <c r="L28" s="41"/>
      <c r="N28" s="41"/>
    </row>
    <row r="29" spans="1:16" ht="21.4" customHeight="1" x14ac:dyDescent="0.45">
      <c r="A29" s="51" t="s">
        <v>20</v>
      </c>
      <c r="B29" s="51"/>
      <c r="C29" s="51"/>
      <c r="D29" s="94">
        <v>15405</v>
      </c>
      <c r="E29" s="7"/>
      <c r="F29" s="41">
        <v>-7352</v>
      </c>
      <c r="G29" s="7"/>
      <c r="H29" s="41">
        <v>7183</v>
      </c>
      <c r="I29" s="7"/>
      <c r="J29" s="52">
        <v>-3376</v>
      </c>
      <c r="K29" s="41"/>
      <c r="L29" s="41"/>
      <c r="N29" s="41"/>
    </row>
    <row r="30" spans="1:16" ht="21.75" customHeight="1" x14ac:dyDescent="0.45">
      <c r="A30" s="3" t="s">
        <v>202</v>
      </c>
      <c r="D30" s="94">
        <f>59129-103544</f>
        <v>-44415</v>
      </c>
      <c r="E30" s="7"/>
      <c r="F30" s="41">
        <v>-33570</v>
      </c>
      <c r="G30" s="7"/>
      <c r="H30" s="41">
        <v>-4290</v>
      </c>
      <c r="I30" s="7"/>
      <c r="J30" s="52">
        <f>15854</f>
        <v>15854</v>
      </c>
      <c r="K30" s="41"/>
      <c r="L30" s="41"/>
      <c r="N30" s="41"/>
    </row>
    <row r="31" spans="1:16" ht="21.4" customHeight="1" x14ac:dyDescent="0.45">
      <c r="A31" s="3" t="s">
        <v>203</v>
      </c>
      <c r="D31" s="94">
        <v>-25274</v>
      </c>
      <c r="E31" s="7"/>
      <c r="F31" s="41">
        <v>0</v>
      </c>
      <c r="G31" s="7"/>
      <c r="H31" s="41">
        <v>-58447</v>
      </c>
      <c r="I31" s="7"/>
      <c r="J31" s="52">
        <v>0</v>
      </c>
      <c r="K31" s="41"/>
      <c r="L31" s="41"/>
      <c r="N31" s="41"/>
    </row>
    <row r="32" spans="1:16" ht="21.75" customHeight="1" x14ac:dyDescent="0.45">
      <c r="A32" s="51" t="s">
        <v>120</v>
      </c>
      <c r="B32" s="51"/>
      <c r="C32" s="51"/>
      <c r="D32" s="94">
        <v>-3729</v>
      </c>
      <c r="E32" s="7"/>
      <c r="F32" s="41">
        <v>-21174</v>
      </c>
      <c r="G32" s="7"/>
      <c r="H32" s="41">
        <v>-19</v>
      </c>
      <c r="I32" s="7"/>
      <c r="J32" s="52">
        <v>-600</v>
      </c>
      <c r="K32" s="3"/>
      <c r="L32" s="41"/>
      <c r="M32" s="7"/>
      <c r="N32" s="41"/>
      <c r="O32" s="7"/>
      <c r="P32" s="7"/>
    </row>
    <row r="33" spans="1:18" ht="21.75" customHeight="1" x14ac:dyDescent="0.45">
      <c r="A33" s="51" t="s">
        <v>121</v>
      </c>
      <c r="B33" s="51"/>
      <c r="C33" s="51"/>
      <c r="D33" s="94">
        <v>-1158</v>
      </c>
      <c r="E33" s="7"/>
      <c r="F33" s="41">
        <v>327</v>
      </c>
      <c r="G33" s="7"/>
      <c r="H33" s="41">
        <v>0</v>
      </c>
      <c r="I33" s="7"/>
      <c r="J33" s="52">
        <v>0</v>
      </c>
      <c r="K33" s="41"/>
      <c r="L33" s="41"/>
      <c r="M33" s="7"/>
      <c r="N33" s="41"/>
      <c r="O33" s="7"/>
      <c r="P33" s="7"/>
    </row>
    <row r="34" spans="1:18" ht="22.15" customHeight="1" x14ac:dyDescent="0.45">
      <c r="A34" s="51" t="s">
        <v>141</v>
      </c>
      <c r="B34" s="51"/>
      <c r="C34" s="51"/>
      <c r="D34" s="94">
        <v>-16788</v>
      </c>
      <c r="E34" s="7"/>
      <c r="F34" s="41">
        <v>-4272</v>
      </c>
      <c r="G34" s="7"/>
      <c r="H34" s="41">
        <v>0</v>
      </c>
      <c r="I34" s="7"/>
      <c r="J34" s="52">
        <v>0</v>
      </c>
      <c r="K34" s="3"/>
      <c r="L34" s="41"/>
      <c r="M34" s="41"/>
      <c r="N34" s="41"/>
      <c r="O34" s="7"/>
      <c r="P34" s="41"/>
    </row>
    <row r="35" spans="1:18" ht="21.75" customHeight="1" x14ac:dyDescent="0.45">
      <c r="A35" s="51" t="s">
        <v>78</v>
      </c>
      <c r="B35" s="51"/>
      <c r="C35" s="51"/>
      <c r="D35" s="94">
        <v>0</v>
      </c>
      <c r="E35" s="7"/>
      <c r="F35" s="41">
        <v>-502</v>
      </c>
      <c r="G35" s="7"/>
      <c r="H35" s="41">
        <v>0</v>
      </c>
      <c r="I35" s="7"/>
      <c r="J35" s="52">
        <v>-502</v>
      </c>
      <c r="K35" s="3"/>
      <c r="L35" s="41"/>
      <c r="M35" s="41"/>
      <c r="N35" s="41"/>
      <c r="O35" s="7"/>
      <c r="P35" s="41"/>
    </row>
    <row r="36" spans="1:18" ht="21.75" customHeight="1" x14ac:dyDescent="0.45">
      <c r="A36" s="51" t="s">
        <v>208</v>
      </c>
      <c r="B36" s="51"/>
      <c r="C36" s="51"/>
      <c r="D36" s="94">
        <f>-94529+103544</f>
        <v>9015</v>
      </c>
      <c r="E36" s="7"/>
      <c r="F36" s="41">
        <v>109782</v>
      </c>
      <c r="G36" s="7"/>
      <c r="H36" s="41">
        <v>-5733</v>
      </c>
      <c r="I36" s="7"/>
      <c r="J36" s="52">
        <v>13382</v>
      </c>
      <c r="K36" s="3"/>
      <c r="L36" s="41"/>
      <c r="M36" s="41"/>
      <c r="N36" s="41"/>
      <c r="O36" s="7"/>
      <c r="P36" s="41"/>
    </row>
    <row r="37" spans="1:18" ht="21.75" customHeight="1" x14ac:dyDescent="0.45">
      <c r="A37" s="51" t="s">
        <v>135</v>
      </c>
      <c r="B37" s="51"/>
      <c r="C37" s="51"/>
      <c r="D37" s="94">
        <v>-7848</v>
      </c>
      <c r="E37" s="7"/>
      <c r="F37" s="41">
        <v>0</v>
      </c>
      <c r="G37" s="7"/>
      <c r="H37" s="41">
        <v>-1043</v>
      </c>
      <c r="I37" s="7"/>
      <c r="J37" s="52">
        <v>0</v>
      </c>
      <c r="K37" s="3"/>
      <c r="L37" s="41"/>
      <c r="M37" s="41"/>
      <c r="N37" s="41"/>
      <c r="O37" s="7"/>
      <c r="P37" s="41"/>
    </row>
    <row r="38" spans="1:18" s="2" customFormat="1" ht="21.4" customHeight="1" x14ac:dyDescent="0.45">
      <c r="A38" s="56" t="s">
        <v>21</v>
      </c>
      <c r="B38" s="56"/>
      <c r="C38" s="56"/>
      <c r="D38" s="94">
        <v>-4284</v>
      </c>
      <c r="E38" s="7"/>
      <c r="F38" s="41">
        <v>-17545</v>
      </c>
      <c r="G38" s="7"/>
      <c r="H38" s="41">
        <v>746</v>
      </c>
      <c r="I38" s="7"/>
      <c r="J38" s="52">
        <v>-10294</v>
      </c>
      <c r="K38" s="46"/>
      <c r="L38" s="41"/>
      <c r="N38" s="41"/>
      <c r="O38" s="53"/>
      <c r="P38" s="3"/>
      <c r="Q38" s="3"/>
      <c r="R38" s="3"/>
    </row>
    <row r="39" spans="1:18" s="2" customFormat="1" ht="21.75" customHeight="1" x14ac:dyDescent="0.45">
      <c r="A39" s="56" t="s">
        <v>122</v>
      </c>
      <c r="B39" s="56"/>
      <c r="C39" s="56"/>
      <c r="D39" s="128">
        <v>-2140</v>
      </c>
      <c r="E39" s="7"/>
      <c r="F39" s="41">
        <v>4688</v>
      </c>
      <c r="G39" s="7"/>
      <c r="H39" s="62">
        <v>-2140</v>
      </c>
      <c r="I39" s="7"/>
      <c r="J39" s="65">
        <v>-829</v>
      </c>
      <c r="O39" s="53"/>
      <c r="P39" s="3"/>
      <c r="Q39" s="3"/>
      <c r="R39" s="3"/>
    </row>
    <row r="40" spans="1:18" ht="21.75" customHeight="1" x14ac:dyDescent="0.45">
      <c r="A40" s="51" t="s">
        <v>154</v>
      </c>
      <c r="B40" s="51"/>
      <c r="C40" s="51"/>
      <c r="D40" s="57">
        <f>SUM(D23:D39)</f>
        <v>277098</v>
      </c>
      <c r="E40" s="53"/>
      <c r="F40" s="57">
        <f>SUM(F23:F39)</f>
        <v>294234</v>
      </c>
      <c r="G40" s="53"/>
      <c r="H40" s="41">
        <f>SUM(H23:H39)</f>
        <v>-143396</v>
      </c>
      <c r="I40" s="53"/>
      <c r="J40" s="41">
        <f>SUM(J23:J39)</f>
        <v>-56113</v>
      </c>
      <c r="L40" s="47"/>
      <c r="N40" s="47"/>
    </row>
    <row r="41" spans="1:18" ht="21.75" customHeight="1" x14ac:dyDescent="0.45">
      <c r="A41" s="51" t="s">
        <v>190</v>
      </c>
      <c r="B41" s="51"/>
      <c r="C41" s="51"/>
      <c r="D41" s="46">
        <v>1652</v>
      </c>
      <c r="E41" s="53"/>
      <c r="F41" s="46">
        <v>5289</v>
      </c>
      <c r="G41" s="53"/>
      <c r="H41" s="41">
        <v>0</v>
      </c>
      <c r="I41" s="53"/>
      <c r="J41" s="41">
        <v>5289</v>
      </c>
      <c r="L41" s="47"/>
      <c r="N41" s="47"/>
    </row>
    <row r="42" spans="1:18" ht="21.75" customHeight="1" x14ac:dyDescent="0.45">
      <c r="A42" s="51" t="s">
        <v>80</v>
      </c>
      <c r="B42" s="51"/>
      <c r="C42" s="51"/>
      <c r="D42" s="41">
        <f>-71976+15790</f>
        <v>-56186</v>
      </c>
      <c r="E42" s="7"/>
      <c r="F42" s="41">
        <v>-37353</v>
      </c>
      <c r="G42" s="7"/>
      <c r="H42" s="41">
        <f>-7444+250</f>
        <v>-7194</v>
      </c>
      <c r="I42" s="7"/>
      <c r="J42" s="41">
        <v>-3377</v>
      </c>
      <c r="N42" s="41"/>
    </row>
    <row r="43" spans="1:18" ht="21.75" customHeight="1" x14ac:dyDescent="0.45">
      <c r="A43" s="54" t="s">
        <v>155</v>
      </c>
      <c r="B43" s="54"/>
      <c r="C43" s="54"/>
      <c r="D43" s="185">
        <f>SUM(D40:D42)</f>
        <v>222564</v>
      </c>
      <c r="E43" s="7"/>
      <c r="F43" s="13">
        <f>SUM(F40:F42)</f>
        <v>262170</v>
      </c>
      <c r="G43" s="7"/>
      <c r="H43" s="13">
        <f>SUM(H40:H42)</f>
        <v>-150590</v>
      </c>
      <c r="I43" s="7"/>
      <c r="J43" s="13">
        <f>SUM(J40:J42)</f>
        <v>-54201</v>
      </c>
      <c r="N43" s="41"/>
    </row>
    <row r="44" spans="1:18" ht="21.75" customHeight="1" x14ac:dyDescent="0.5">
      <c r="A44" s="18" t="s">
        <v>100</v>
      </c>
      <c r="B44" s="18"/>
      <c r="C44" s="18"/>
    </row>
    <row r="45" spans="1:18" ht="21.75" customHeight="1" x14ac:dyDescent="0.5">
      <c r="A45" s="18" t="s">
        <v>92</v>
      </c>
      <c r="B45" s="18"/>
      <c r="C45" s="18"/>
      <c r="E45" s="6"/>
      <c r="G45" s="6"/>
    </row>
    <row r="46" spans="1:18" ht="21.75" customHeight="1" x14ac:dyDescent="0.45">
      <c r="A46" s="4"/>
      <c r="B46" s="4"/>
      <c r="C46" s="4"/>
      <c r="D46" s="4"/>
      <c r="E46" s="4"/>
      <c r="F46" s="4"/>
      <c r="G46" s="4"/>
    </row>
    <row r="47" spans="1:18" ht="21.75" customHeight="1" x14ac:dyDescent="0.45">
      <c r="A47" s="22"/>
      <c r="B47" s="22"/>
      <c r="C47" s="22"/>
      <c r="D47" s="188" t="s">
        <v>32</v>
      </c>
      <c r="E47" s="188"/>
      <c r="F47" s="188"/>
      <c r="G47" s="188"/>
      <c r="H47" s="188" t="s">
        <v>47</v>
      </c>
      <c r="I47" s="188"/>
      <c r="J47" s="188"/>
    </row>
    <row r="48" spans="1:18" ht="21.75" customHeight="1" x14ac:dyDescent="0.45">
      <c r="A48" s="22"/>
      <c r="B48" s="22"/>
      <c r="C48" s="22"/>
      <c r="D48" s="189" t="s">
        <v>171</v>
      </c>
      <c r="E48" s="189"/>
      <c r="F48" s="189"/>
      <c r="G48" s="189"/>
      <c r="H48" s="189" t="s">
        <v>171</v>
      </c>
      <c r="I48" s="189"/>
      <c r="J48" s="189"/>
      <c r="K48" s="3"/>
      <c r="L48" s="3"/>
      <c r="M48" s="3"/>
      <c r="N48" s="3"/>
      <c r="O48" s="3"/>
    </row>
    <row r="49" spans="1:15" ht="21.75" customHeight="1" x14ac:dyDescent="0.45">
      <c r="A49" s="22"/>
      <c r="B49" s="22"/>
      <c r="C49" s="22"/>
      <c r="D49" s="189" t="s">
        <v>168</v>
      </c>
      <c r="E49" s="189"/>
      <c r="F49" s="189"/>
      <c r="H49" s="189" t="s">
        <v>168</v>
      </c>
      <c r="I49" s="189"/>
      <c r="J49" s="189"/>
      <c r="K49" s="3"/>
      <c r="L49" s="3"/>
      <c r="M49" s="3"/>
      <c r="N49" s="3"/>
      <c r="O49" s="3"/>
    </row>
    <row r="50" spans="1:15" ht="21.75" customHeight="1" x14ac:dyDescent="0.45">
      <c r="A50" s="16"/>
      <c r="B50" s="154"/>
      <c r="C50" s="16"/>
      <c r="D50" s="23">
        <v>2562</v>
      </c>
      <c r="E50" s="23"/>
      <c r="F50" s="23">
        <v>2561</v>
      </c>
      <c r="G50" s="23"/>
      <c r="H50" s="23">
        <v>2562</v>
      </c>
      <c r="I50" s="23"/>
      <c r="J50" s="23">
        <v>2561</v>
      </c>
    </row>
    <row r="51" spans="1:15" ht="21.75" customHeight="1" x14ac:dyDescent="0.45">
      <c r="D51" s="190" t="s">
        <v>88</v>
      </c>
      <c r="E51" s="190"/>
      <c r="F51" s="190"/>
      <c r="G51" s="190"/>
      <c r="H51" s="190"/>
      <c r="I51" s="190"/>
      <c r="J51" s="190"/>
    </row>
    <row r="52" spans="1:15" ht="21.75" customHeight="1" x14ac:dyDescent="0.45">
      <c r="A52" s="49" t="s">
        <v>22</v>
      </c>
      <c r="B52" s="49"/>
      <c r="C52" s="49"/>
      <c r="D52" s="6"/>
      <c r="E52" s="7"/>
      <c r="F52" s="6"/>
      <c r="G52" s="7"/>
      <c r="H52" s="7"/>
      <c r="I52" s="7"/>
      <c r="J52" s="7"/>
    </row>
    <row r="53" spans="1:15" ht="21.75" customHeight="1" x14ac:dyDescent="0.45">
      <c r="A53" s="51" t="s">
        <v>93</v>
      </c>
      <c r="B53" s="51"/>
      <c r="C53" s="51"/>
      <c r="D53" s="41">
        <v>-1856</v>
      </c>
      <c r="E53" s="33"/>
      <c r="F53" s="41">
        <v>-5851</v>
      </c>
      <c r="G53" s="33"/>
      <c r="H53" s="41">
        <v>-1782</v>
      </c>
      <c r="I53" s="33"/>
      <c r="J53" s="41">
        <v>-3665</v>
      </c>
    </row>
    <row r="54" spans="1:15" ht="21.75" customHeight="1" x14ac:dyDescent="0.45">
      <c r="A54" s="51" t="s">
        <v>85</v>
      </c>
      <c r="B54" s="51"/>
      <c r="C54" s="51"/>
      <c r="D54" s="41">
        <v>4053</v>
      </c>
      <c r="E54" s="33"/>
      <c r="F54" s="41">
        <v>0</v>
      </c>
      <c r="G54" s="33"/>
      <c r="H54" s="41">
        <v>1762</v>
      </c>
      <c r="I54" s="33"/>
      <c r="J54" s="41">
        <v>0</v>
      </c>
    </row>
    <row r="55" spans="1:15" ht="21.75" customHeight="1" x14ac:dyDescent="0.45">
      <c r="A55" s="51" t="s">
        <v>125</v>
      </c>
      <c r="B55" s="51"/>
      <c r="C55" s="51"/>
      <c r="D55" s="41">
        <v>-4045</v>
      </c>
      <c r="E55" s="7"/>
      <c r="F55" s="41">
        <v>-203208</v>
      </c>
      <c r="G55" s="7"/>
      <c r="H55" s="41">
        <v>-7</v>
      </c>
      <c r="I55" s="7"/>
      <c r="J55" s="41">
        <v>-5488</v>
      </c>
    </row>
    <row r="56" spans="1:15" ht="21.75" customHeight="1" x14ac:dyDescent="0.45">
      <c r="A56" s="3" t="s">
        <v>123</v>
      </c>
      <c r="B56" s="154"/>
      <c r="D56" s="41">
        <v>0</v>
      </c>
      <c r="E56" s="147"/>
      <c r="F56" s="34">
        <v>0</v>
      </c>
      <c r="G56" s="53"/>
      <c r="H56" s="41">
        <v>-126271</v>
      </c>
      <c r="I56" s="7"/>
      <c r="J56" s="52">
        <v>-100000</v>
      </c>
      <c r="K56" s="41"/>
      <c r="M56" s="41"/>
    </row>
    <row r="57" spans="1:15" ht="21.75" customHeight="1" x14ac:dyDescent="0.45">
      <c r="A57" s="3" t="s">
        <v>140</v>
      </c>
      <c r="B57" s="154"/>
      <c r="D57" s="41">
        <v>-1504</v>
      </c>
      <c r="E57" s="147"/>
      <c r="F57" s="34">
        <v>0</v>
      </c>
      <c r="G57" s="53"/>
      <c r="H57" s="41">
        <v>-167254</v>
      </c>
      <c r="I57" s="7"/>
      <c r="J57" s="52">
        <v>0</v>
      </c>
      <c r="K57" s="41"/>
      <c r="M57" s="41"/>
    </row>
    <row r="58" spans="1:15" ht="21.75" customHeight="1" x14ac:dyDescent="0.45">
      <c r="A58" s="3" t="s">
        <v>124</v>
      </c>
      <c r="D58" s="52">
        <v>0</v>
      </c>
      <c r="E58" s="132"/>
      <c r="F58" s="30">
        <v>31246</v>
      </c>
      <c r="G58" s="132"/>
      <c r="H58" s="52">
        <v>0</v>
      </c>
      <c r="I58" s="33"/>
      <c r="J58" s="52">
        <v>31246</v>
      </c>
      <c r="K58" s="41"/>
      <c r="M58" s="41"/>
    </row>
    <row r="59" spans="1:15" ht="21.75" customHeight="1" x14ac:dyDescent="0.45">
      <c r="A59" s="3" t="s">
        <v>161</v>
      </c>
      <c r="D59" s="52">
        <v>26155</v>
      </c>
      <c r="E59" s="132"/>
      <c r="F59" s="34">
        <v>0</v>
      </c>
      <c r="G59" s="132"/>
      <c r="H59" s="52">
        <v>26155</v>
      </c>
      <c r="I59" s="33"/>
      <c r="J59" s="34">
        <v>0</v>
      </c>
      <c r="K59" s="41"/>
      <c r="M59" s="41"/>
    </row>
    <row r="60" spans="1:15" ht="21.75" customHeight="1" x14ac:dyDescent="0.45">
      <c r="A60" s="3" t="s">
        <v>101</v>
      </c>
      <c r="D60" s="52">
        <v>34512</v>
      </c>
      <c r="E60" s="132"/>
      <c r="F60" s="30">
        <v>1145</v>
      </c>
      <c r="G60" s="132"/>
      <c r="H60" s="52">
        <v>277495</v>
      </c>
      <c r="I60" s="33"/>
      <c r="J60" s="52">
        <v>22811</v>
      </c>
      <c r="K60" s="41"/>
      <c r="M60" s="41"/>
    </row>
    <row r="61" spans="1:15" ht="21.75" customHeight="1" x14ac:dyDescent="0.45">
      <c r="A61" s="54" t="s">
        <v>81</v>
      </c>
      <c r="B61" s="54"/>
      <c r="C61" s="54"/>
      <c r="D61" s="185">
        <f>SUM(D53:D60)</f>
        <v>57315</v>
      </c>
      <c r="E61" s="7"/>
      <c r="F61" s="13">
        <f>SUM(F53:F60)</f>
        <v>-176668</v>
      </c>
      <c r="G61" s="7"/>
      <c r="H61" s="172">
        <f>SUM(H53:H60)</f>
        <v>10098</v>
      </c>
      <c r="I61" s="7"/>
      <c r="J61" s="13">
        <f>SUM(J53:J60)</f>
        <v>-55096</v>
      </c>
      <c r="K61" s="111"/>
      <c r="M61" s="41"/>
    </row>
    <row r="62" spans="1:15" ht="21.75" customHeight="1" x14ac:dyDescent="0.45">
      <c r="A62" s="54"/>
      <c r="B62" s="54"/>
      <c r="C62" s="54"/>
      <c r="D62" s="55"/>
      <c r="E62" s="7"/>
      <c r="G62" s="7"/>
      <c r="H62" s="7"/>
      <c r="I62" s="7"/>
      <c r="J62" s="7"/>
    </row>
    <row r="63" spans="1:15" ht="21.75" customHeight="1" x14ac:dyDescent="0.45">
      <c r="A63" s="49" t="s">
        <v>23</v>
      </c>
      <c r="B63" s="49"/>
      <c r="C63" s="49"/>
      <c r="D63" s="55"/>
      <c r="E63" s="7"/>
      <c r="G63" s="7"/>
      <c r="H63" s="7"/>
      <c r="I63" s="7"/>
      <c r="J63" s="7"/>
    </row>
    <row r="64" spans="1:15" ht="21.75" customHeight="1" x14ac:dyDescent="0.45">
      <c r="A64" s="51" t="s">
        <v>126</v>
      </c>
      <c r="B64" s="154"/>
      <c r="C64" s="51"/>
      <c r="D64" s="89">
        <v>0</v>
      </c>
      <c r="E64" s="41"/>
      <c r="F64" s="52">
        <v>0</v>
      </c>
      <c r="G64" s="41"/>
      <c r="H64" s="89">
        <v>428506</v>
      </c>
      <c r="I64" s="41"/>
      <c r="J64" s="89">
        <v>0</v>
      </c>
      <c r="K64" s="41"/>
      <c r="M64" s="41"/>
    </row>
    <row r="65" spans="1:13" ht="21.75" customHeight="1" x14ac:dyDescent="0.45">
      <c r="A65" s="148" t="s">
        <v>127</v>
      </c>
      <c r="B65" s="154"/>
      <c r="C65" s="148"/>
      <c r="D65" s="89">
        <v>0</v>
      </c>
      <c r="E65" s="41"/>
      <c r="F65" s="52">
        <v>0</v>
      </c>
      <c r="G65" s="41"/>
      <c r="H65" s="89">
        <v>-439367</v>
      </c>
      <c r="I65" s="41"/>
      <c r="J65" s="89">
        <v>0</v>
      </c>
      <c r="K65" s="41"/>
      <c r="M65" s="41"/>
    </row>
    <row r="66" spans="1:13" ht="21.75" customHeight="1" x14ac:dyDescent="0.45">
      <c r="A66" s="3" t="s">
        <v>163</v>
      </c>
      <c r="D66" s="52">
        <v>1270000</v>
      </c>
      <c r="E66" s="41"/>
      <c r="F66" s="52">
        <v>800000</v>
      </c>
      <c r="G66" s="41"/>
      <c r="H66" s="52">
        <v>1270000</v>
      </c>
      <c r="I66" s="41"/>
      <c r="J66" s="52">
        <v>800000</v>
      </c>
      <c r="K66" s="111"/>
      <c r="M66" s="41"/>
    </row>
    <row r="67" spans="1:13" ht="21.75" customHeight="1" x14ac:dyDescent="0.45">
      <c r="A67" s="3" t="s">
        <v>209</v>
      </c>
      <c r="D67" s="89">
        <v>-870000</v>
      </c>
      <c r="E67" s="41"/>
      <c r="F67" s="52">
        <v>0</v>
      </c>
      <c r="G67" s="41"/>
      <c r="H67" s="89">
        <v>-870000</v>
      </c>
      <c r="I67" s="41"/>
      <c r="J67" s="52">
        <v>0</v>
      </c>
      <c r="K67" s="111"/>
      <c r="M67" s="41"/>
    </row>
    <row r="68" spans="1:13" ht="21.75" customHeight="1" x14ac:dyDescent="0.45">
      <c r="A68" s="3" t="s">
        <v>144</v>
      </c>
      <c r="D68" s="89">
        <v>0</v>
      </c>
      <c r="E68" s="41"/>
      <c r="F68" s="52">
        <v>36100</v>
      </c>
      <c r="G68" s="41"/>
      <c r="H68" s="89">
        <v>0</v>
      </c>
      <c r="I68" s="41"/>
      <c r="J68" s="52">
        <v>0</v>
      </c>
      <c r="K68" s="106"/>
      <c r="M68" s="41"/>
    </row>
    <row r="69" spans="1:13" ht="21.75" customHeight="1" x14ac:dyDescent="0.45">
      <c r="A69" s="3" t="s">
        <v>145</v>
      </c>
      <c r="D69" s="52">
        <v>-513007</v>
      </c>
      <c r="E69" s="41"/>
      <c r="F69" s="52">
        <v>-222307</v>
      </c>
      <c r="G69" s="41"/>
      <c r="H69" s="52">
        <v>0</v>
      </c>
      <c r="I69" s="41"/>
      <c r="J69" s="52">
        <v>0</v>
      </c>
      <c r="K69" s="106"/>
      <c r="M69" s="41"/>
    </row>
    <row r="70" spans="1:13" ht="21.75" customHeight="1" x14ac:dyDescent="0.45">
      <c r="A70" s="3" t="s">
        <v>192</v>
      </c>
      <c r="D70" s="52">
        <v>0</v>
      </c>
      <c r="E70" s="41"/>
      <c r="F70" s="52">
        <v>1146325</v>
      </c>
      <c r="G70" s="41"/>
      <c r="H70" s="52">
        <v>0</v>
      </c>
      <c r="I70" s="41"/>
      <c r="J70" s="52">
        <v>1146325</v>
      </c>
      <c r="K70" s="106"/>
      <c r="M70" s="41"/>
    </row>
    <row r="71" spans="1:13" ht="21.75" customHeight="1" x14ac:dyDescent="0.45">
      <c r="A71" s="3" t="s">
        <v>193</v>
      </c>
      <c r="D71" s="52">
        <v>0</v>
      </c>
      <c r="E71" s="41"/>
      <c r="F71" s="52">
        <v>-1150000</v>
      </c>
      <c r="G71" s="41"/>
      <c r="H71" s="52">
        <v>0</v>
      </c>
      <c r="I71" s="41"/>
      <c r="J71" s="52">
        <v>-1150000</v>
      </c>
      <c r="K71" s="106"/>
      <c r="M71" s="41"/>
    </row>
    <row r="72" spans="1:13" ht="21.75" customHeight="1" x14ac:dyDescent="0.45">
      <c r="A72" s="3" t="s">
        <v>194</v>
      </c>
      <c r="D72" s="52">
        <v>0</v>
      </c>
      <c r="E72" s="41"/>
      <c r="F72" s="52">
        <v>548381</v>
      </c>
      <c r="G72" s="41"/>
      <c r="H72" s="52">
        <v>0</v>
      </c>
      <c r="I72" s="41"/>
      <c r="J72" s="52">
        <v>548381</v>
      </c>
      <c r="K72" s="106"/>
      <c r="M72" s="41"/>
    </row>
    <row r="73" spans="1:13" ht="21.75" customHeight="1" x14ac:dyDescent="0.45">
      <c r="A73" s="3" t="s">
        <v>191</v>
      </c>
      <c r="D73" s="52">
        <v>0</v>
      </c>
      <c r="E73" s="41"/>
      <c r="F73" s="52">
        <v>-595140</v>
      </c>
      <c r="G73" s="41"/>
      <c r="H73" s="52">
        <v>0</v>
      </c>
      <c r="I73" s="41"/>
      <c r="J73" s="52">
        <v>-595140</v>
      </c>
      <c r="K73" s="106"/>
      <c r="M73" s="41"/>
    </row>
    <row r="74" spans="1:13" ht="21.75" customHeight="1" x14ac:dyDescent="0.45">
      <c r="A74" s="51" t="s">
        <v>82</v>
      </c>
      <c r="B74" s="51"/>
      <c r="C74" s="51"/>
      <c r="D74" s="41">
        <v>-181631</v>
      </c>
      <c r="E74" s="41"/>
      <c r="F74" s="41">
        <v>-218189</v>
      </c>
      <c r="G74" s="41"/>
      <c r="H74" s="41">
        <v>-190243</v>
      </c>
      <c r="I74" s="41"/>
      <c r="J74" s="41">
        <v>-167613</v>
      </c>
      <c r="K74" s="106"/>
      <c r="M74" s="41"/>
    </row>
    <row r="75" spans="1:13" ht="21.75" customHeight="1" x14ac:dyDescent="0.45">
      <c r="A75" s="54" t="s">
        <v>156</v>
      </c>
      <c r="B75" s="54"/>
      <c r="C75" s="54"/>
      <c r="D75" s="185">
        <f>SUM(D64:D74)</f>
        <v>-294638</v>
      </c>
      <c r="E75" s="7"/>
      <c r="F75" s="13">
        <f>SUM(F64:F74)</f>
        <v>345170</v>
      </c>
      <c r="G75" s="7"/>
      <c r="H75" s="172">
        <f>SUM(H64:H74)</f>
        <v>198896</v>
      </c>
      <c r="I75" s="7"/>
      <c r="J75" s="172">
        <f>SUM(J64:J74)</f>
        <v>581953</v>
      </c>
      <c r="M75" s="41"/>
    </row>
    <row r="76" spans="1:13" ht="21.75" customHeight="1" x14ac:dyDescent="0.45">
      <c r="A76" s="16"/>
      <c r="B76" s="16"/>
      <c r="C76" s="16"/>
      <c r="D76" s="94"/>
      <c r="E76" s="7"/>
      <c r="F76" s="53"/>
      <c r="G76" s="7"/>
      <c r="H76" s="33"/>
      <c r="I76" s="7"/>
      <c r="J76" s="33"/>
    </row>
    <row r="77" spans="1:13" ht="21.75" customHeight="1" x14ac:dyDescent="0.45">
      <c r="A77" s="54" t="s">
        <v>157</v>
      </c>
      <c r="B77" s="54"/>
      <c r="C77" s="54"/>
      <c r="D77" s="95">
        <f>+D43+D61+D75</f>
        <v>-14759</v>
      </c>
      <c r="E77" s="12"/>
      <c r="F77" s="12">
        <f>+F43+F61+F75</f>
        <v>430672</v>
      </c>
      <c r="G77" s="12"/>
      <c r="H77" s="167">
        <f>+H43+H61+H75</f>
        <v>58404</v>
      </c>
      <c r="I77" s="12"/>
      <c r="J77" s="167">
        <f>+J43+J61+J75</f>
        <v>472656</v>
      </c>
    </row>
    <row r="78" spans="1:13" ht="21.75" customHeight="1" x14ac:dyDescent="0.45">
      <c r="A78" s="51" t="s">
        <v>162</v>
      </c>
      <c r="B78" s="51"/>
      <c r="C78" s="51"/>
      <c r="D78" s="128">
        <v>178368</v>
      </c>
      <c r="E78" s="53"/>
      <c r="F78" s="110">
        <v>493764</v>
      </c>
      <c r="G78" s="53"/>
      <c r="H78" s="123">
        <v>47643</v>
      </c>
      <c r="I78" s="53"/>
      <c r="J78" s="123">
        <v>146724</v>
      </c>
    </row>
    <row r="79" spans="1:13" ht="21.75" customHeight="1" thickBot="1" x14ac:dyDescent="0.5">
      <c r="A79" s="54" t="s">
        <v>198</v>
      </c>
      <c r="B79" s="54"/>
      <c r="C79" s="54"/>
      <c r="D79" s="186">
        <f>SUM(D77:D78)</f>
        <v>163609</v>
      </c>
      <c r="E79" s="28"/>
      <c r="F79" s="14">
        <f>SUM(F77:F78)</f>
        <v>924436</v>
      </c>
      <c r="G79" s="28"/>
      <c r="H79" s="176">
        <f>SUM(H77:H78)</f>
        <v>106047</v>
      </c>
      <c r="I79" s="28"/>
      <c r="J79" s="176">
        <f>SUM(J77:J78)</f>
        <v>619380</v>
      </c>
    </row>
    <row r="80" spans="1:13" ht="21.75" customHeight="1" thickTop="1" x14ac:dyDescent="0.45">
      <c r="A80" s="54"/>
      <c r="B80" s="54"/>
      <c r="C80" s="54"/>
      <c r="D80" s="12"/>
      <c r="E80" s="28"/>
      <c r="F80" s="12"/>
      <c r="G80" s="28"/>
      <c r="H80" s="12"/>
      <c r="I80" s="28"/>
      <c r="J80" s="12"/>
    </row>
    <row r="81" spans="1:10" ht="21.75" customHeight="1" x14ac:dyDescent="0.45">
      <c r="A81" s="49" t="s">
        <v>94</v>
      </c>
      <c r="B81" s="49"/>
      <c r="C81" s="49"/>
      <c r="I81" s="28"/>
    </row>
    <row r="82" spans="1:10" ht="21.75" customHeight="1" x14ac:dyDescent="0.45">
      <c r="A82" s="51" t="s">
        <v>158</v>
      </c>
      <c r="B82" s="51"/>
      <c r="C82" s="51"/>
      <c r="D82" s="124">
        <v>0</v>
      </c>
      <c r="E82" s="28"/>
      <c r="F82" s="124">
        <v>0</v>
      </c>
      <c r="G82" s="28"/>
      <c r="H82" s="11">
        <v>31722</v>
      </c>
      <c r="I82" s="28"/>
      <c r="J82" s="11">
        <v>31722</v>
      </c>
    </row>
    <row r="83" spans="1:10" ht="21.75" customHeight="1" x14ac:dyDescent="0.45">
      <c r="D83" s="46">
        <f>D79-'BS3'!C10</f>
        <v>0</v>
      </c>
      <c r="E83" s="46"/>
      <c r="F83" s="46">
        <f>924436-F79</f>
        <v>0</v>
      </c>
      <c r="G83" s="46"/>
      <c r="H83" s="46">
        <f>H79-'BS3'!G10</f>
        <v>0</v>
      </c>
      <c r="I83" s="46"/>
      <c r="J83" s="46">
        <f>619380-J79</f>
        <v>0</v>
      </c>
    </row>
    <row r="84" spans="1:10" ht="21.75" customHeight="1" x14ac:dyDescent="0.45">
      <c r="D84" s="2"/>
      <c r="E84" s="2"/>
      <c r="F84" s="2"/>
      <c r="G84" s="2"/>
      <c r="H84" s="2"/>
      <c r="I84" s="2"/>
      <c r="J84" s="2"/>
    </row>
    <row r="85" spans="1:10" ht="21.75" customHeight="1" x14ac:dyDescent="0.45">
      <c r="D85" s="112"/>
      <c r="E85" s="28"/>
      <c r="F85" s="112"/>
      <c r="G85" s="28"/>
      <c r="H85" s="112"/>
      <c r="I85" s="2"/>
      <c r="J85" s="112"/>
    </row>
    <row r="86" spans="1:10" ht="21.75" customHeight="1" x14ac:dyDescent="0.45"/>
    <row r="87" spans="1:10" ht="21.75" customHeight="1" x14ac:dyDescent="0.45"/>
    <row r="88" spans="1:10" ht="21.75" customHeight="1" x14ac:dyDescent="0.45"/>
    <row r="89" spans="1:10" ht="21.75" customHeight="1" x14ac:dyDescent="0.45"/>
    <row r="90" spans="1:10" ht="21.75" customHeight="1" x14ac:dyDescent="0.45"/>
    <row r="91" spans="1:10" ht="21.75" customHeight="1" x14ac:dyDescent="0.45"/>
    <row r="92" spans="1:10" ht="21.75" customHeight="1" x14ac:dyDescent="0.45"/>
    <row r="93" spans="1:10" ht="21.75" customHeight="1" x14ac:dyDescent="0.45"/>
    <row r="94" spans="1:10" ht="21.75" customHeight="1" x14ac:dyDescent="0.45"/>
    <row r="95" spans="1:10" ht="21.75" customHeight="1" x14ac:dyDescent="0.45"/>
    <row r="96" spans="1:10" ht="21.75" customHeight="1" x14ac:dyDescent="0.45"/>
    <row r="97" ht="21.75" customHeight="1" x14ac:dyDescent="0.45"/>
    <row r="98" ht="21.75" customHeight="1" x14ac:dyDescent="0.45"/>
    <row r="99" ht="21.75" customHeight="1" x14ac:dyDescent="0.45"/>
    <row r="100" ht="21.75" customHeight="1" x14ac:dyDescent="0.45"/>
    <row r="101" ht="21.75" customHeight="1" x14ac:dyDescent="0.45"/>
    <row r="102" ht="21.75" customHeight="1" x14ac:dyDescent="0.45"/>
    <row r="103" ht="21.75" customHeight="1" x14ac:dyDescent="0.45"/>
    <row r="104" ht="21.75" customHeight="1" x14ac:dyDescent="0.45"/>
    <row r="105" ht="21.75" customHeight="1" x14ac:dyDescent="0.45"/>
    <row r="106" ht="21.75" customHeight="1" x14ac:dyDescent="0.45"/>
    <row r="107" ht="21.75" customHeight="1" x14ac:dyDescent="0.45"/>
  </sheetData>
  <mergeCells count="14">
    <mergeCell ref="D7:J7"/>
    <mergeCell ref="D47:G47"/>
    <mergeCell ref="H47:J47"/>
    <mergeCell ref="D3:G3"/>
    <mergeCell ref="H3:J3"/>
    <mergeCell ref="D4:G4"/>
    <mergeCell ref="H4:J4"/>
    <mergeCell ref="D5:F5"/>
    <mergeCell ref="H5:J5"/>
    <mergeCell ref="D48:G48"/>
    <mergeCell ref="H48:J48"/>
    <mergeCell ref="H49:J49"/>
    <mergeCell ref="D51:J51"/>
    <mergeCell ref="D49:F49"/>
  </mergeCells>
  <pageMargins left="0.8" right="0.7" top="0.48" bottom="0.5" header="0.5" footer="0.5"/>
  <pageSetup paperSize="9" scale="76" firstPageNumber="14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
&amp;C&amp;15
&amp;P&amp;R&amp;"Angsana New,Italic"&amp;15
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BS3</vt:lpstr>
      <vt:lpstr>PL6</vt:lpstr>
      <vt:lpstr>SH-10</vt:lpstr>
      <vt:lpstr>SH-11</vt:lpstr>
      <vt:lpstr>SH-12</vt:lpstr>
      <vt:lpstr>SH-13</vt:lpstr>
      <vt:lpstr>CF14</vt:lpstr>
      <vt:lpstr>'BS3'!Print_Area</vt:lpstr>
      <vt:lpstr>'CF14'!Print_Area</vt:lpstr>
      <vt:lpstr>'PL6'!Print_Area</vt:lpstr>
      <vt:lpstr>'SH-10'!Print_Area</vt:lpstr>
      <vt:lpstr>'SH-11'!Print_Area</vt:lpstr>
      <vt:lpstr>'SH-12'!Print_Area</vt:lpstr>
      <vt:lpstr>'SH-13'!Print_Area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Navaporn, Sunlakawit</cp:lastModifiedBy>
  <cp:lastPrinted>2019-08-09T06:05:18Z</cp:lastPrinted>
  <dcterms:created xsi:type="dcterms:W3CDTF">2005-04-19T13:30:30Z</dcterms:created>
  <dcterms:modified xsi:type="dcterms:W3CDTF">2019-08-09T06:18:25Z</dcterms:modified>
</cp:coreProperties>
</file>